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0" windowWidth="20320" windowHeight="13740" activeTab="1"/>
  </bookViews>
  <sheets>
    <sheet name="Instructions" sheetId="1" r:id="rId1"/>
    <sheet name="Scenario Analysis" sheetId="2" r:id="rId2"/>
    <sheet name="Gross Profit Summary" sheetId="3" r:id="rId3"/>
    <sheet name="Cafe Menu" sheetId="4" r:id="rId4"/>
    <sheet name="Events Menu" sheetId="5" r:id="rId5"/>
    <sheet name="Takings Chart" sheetId="6" r:id="rId6"/>
    <sheet name="Cafe Income Chart" sheetId="7" r:id="rId7"/>
    <sheet name="Total Income Chart" sheetId="8" r:id="rId8"/>
    <sheet name="GP Chart" sheetId="9" r:id="rId9"/>
    <sheet name="P&amp;L" sheetId="10" r:id="rId10"/>
    <sheet name="Monthly I&amp;E" sheetId="11" r:id="rId11"/>
    <sheet name="Monthly Chart" sheetId="12" r:id="rId12"/>
    <sheet name="Exp" sheetId="13" r:id="rId13"/>
    <sheet name="Top tips" sheetId="14" r:id="rId14"/>
  </sheets>
  <definedNames/>
  <calcPr fullCalcOnLoad="1"/>
</workbook>
</file>

<file path=xl/sharedStrings.xml><?xml version="1.0" encoding="utf-8"?>
<sst xmlns="http://schemas.openxmlformats.org/spreadsheetml/2006/main" count="199" uniqueCount="158">
  <si>
    <t>Café Income</t>
  </si>
  <si>
    <t>Summarised Menu</t>
  </si>
  <si>
    <t>Hot Drinks (e.g. tea/coffee)</t>
  </si>
  <si>
    <t>Numbers per day</t>
  </si>
  <si>
    <t>Menu price</t>
  </si>
  <si>
    <t>Soft Cold Drinks</t>
  </si>
  <si>
    <t>1. DRINKS</t>
  </si>
  <si>
    <t>2. FOOD</t>
  </si>
  <si>
    <t>Cakes &amp; Pastries</t>
  </si>
  <si>
    <t>Cold Sandwiches</t>
  </si>
  <si>
    <t>Daily Mix (% of total covers)</t>
  </si>
  <si>
    <t>Months open per year</t>
  </si>
  <si>
    <t>£</t>
  </si>
  <si>
    <t>Scenario - % of base case</t>
  </si>
  <si>
    <t>% of take away</t>
  </si>
  <si>
    <t>VAT Rate</t>
  </si>
  <si>
    <t>Cost of ingredients</t>
  </si>
  <si>
    <t>Annual Takings (i.e. including VAT)</t>
  </si>
  <si>
    <t>Sales Income (i.e. net of VAT)</t>
  </si>
  <si>
    <t>Cost of Sales</t>
  </si>
  <si>
    <t>Gross margin</t>
  </si>
  <si>
    <t>Income</t>
  </si>
  <si>
    <t>Gross profit</t>
  </si>
  <si>
    <t>Gross profit % (of income)</t>
  </si>
  <si>
    <t>Opening Stock</t>
  </si>
  <si>
    <t>Opening Stock level</t>
  </si>
  <si>
    <t>Closing Stock level</t>
  </si>
  <si>
    <t>Equiv days</t>
  </si>
  <si>
    <t>Should not normally be more than 7 days worth of stock</t>
  </si>
  <si>
    <t>Purchases</t>
  </si>
  <si>
    <t>Purchases (Cost of Sales)</t>
  </si>
  <si>
    <t>Closing Stock</t>
  </si>
  <si>
    <t>Gross Profit</t>
  </si>
  <si>
    <t>Proportion of annual total</t>
  </si>
  <si>
    <t>Café sales Income (excl VAT)</t>
  </si>
  <si>
    <t>Base case number of customers per month</t>
  </si>
  <si>
    <t>Number of Customers per month</t>
  </si>
  <si>
    <t>Menu Options</t>
  </si>
  <si>
    <t>Event Catering</t>
  </si>
  <si>
    <t>Numbers per month:</t>
  </si>
  <si>
    <t>Income:</t>
  </si>
  <si>
    <t>Cost of sales</t>
  </si>
  <si>
    <t>GROSS PROFIT</t>
  </si>
  <si>
    <t>Total Cost of sales</t>
  </si>
  <si>
    <t>Total Gross Profit</t>
  </si>
  <si>
    <t>Total</t>
  </si>
  <si>
    <t>a. Café Sales</t>
  </si>
  <si>
    <t>2. EXPENDITURE</t>
  </si>
  <si>
    <t>Revenue Costs</t>
  </si>
  <si>
    <t>Cleaning</t>
  </si>
  <si>
    <t>Salary costs</t>
  </si>
  <si>
    <t>Marketing &amp; advertising</t>
  </si>
  <si>
    <t>Insurance</t>
  </si>
  <si>
    <t>Accounting and bookeeping</t>
  </si>
  <si>
    <t>Equipment leasing</t>
  </si>
  <si>
    <t>Staff training</t>
  </si>
  <si>
    <t>Cost of Sales (CoS)</t>
  </si>
  <si>
    <t>% of base model</t>
  </si>
  <si>
    <t>% of income</t>
  </si>
  <si>
    <t>Other costs</t>
  </si>
  <si>
    <t>Delivery &amp; travel costs</t>
  </si>
  <si>
    <t>Margin (before financing, capital costs &amp; depreciation)</t>
  </si>
  <si>
    <t>2. OTHER INCOME</t>
  </si>
  <si>
    <t>3. EXPENDITURE</t>
  </si>
  <si>
    <t>Other income 3</t>
  </si>
  <si>
    <t>Other Income</t>
  </si>
  <si>
    <t>Gross profit %</t>
  </si>
  <si>
    <t xml:space="preserve">Café </t>
  </si>
  <si>
    <t>Scenario GP</t>
  </si>
  <si>
    <t xml:space="preserve">Base model is </t>
  </si>
  <si>
    <t>Rent &amp; Premises costs</t>
  </si>
  <si>
    <t>Premises Costs</t>
  </si>
  <si>
    <t>Premises costs</t>
  </si>
  <si>
    <t>Café Turnover</t>
  </si>
  <si>
    <t>Salaries</t>
  </si>
  <si>
    <t>Major Assumption Controls</t>
  </si>
  <si>
    <t>Is this business VAT registered</t>
  </si>
  <si>
    <t>Base case customers per day (café)</t>
  </si>
  <si>
    <t>Number of Customers per day (café)</t>
  </si>
  <si>
    <t>Days open per week (café)</t>
  </si>
  <si>
    <t>Average Takings per trading day</t>
  </si>
  <si>
    <t>Outside Catering</t>
  </si>
  <si>
    <t>Events &amp; outside catering</t>
  </si>
  <si>
    <t>Price per head or event</t>
  </si>
  <si>
    <t>Events (per head)</t>
  </si>
  <si>
    <t>Community Room (per event)</t>
  </si>
  <si>
    <t xml:space="preserve">Ave numbers of heads </t>
  </si>
  <si>
    <t>Shop</t>
  </si>
  <si>
    <t>Community facilities</t>
  </si>
  <si>
    <t>Staff Costs</t>
  </si>
  <si>
    <t>Maintenance</t>
  </si>
  <si>
    <t>Electricity &amp; gas (non café)</t>
  </si>
  <si>
    <t>Non café untilities</t>
  </si>
  <si>
    <t xml:space="preserve">Events </t>
  </si>
  <si>
    <t>Overall GP</t>
  </si>
  <si>
    <t>Café</t>
  </si>
  <si>
    <t>Events  income</t>
  </si>
  <si>
    <t>Scenario - % of base case (café)</t>
  </si>
  <si>
    <t>Shop income</t>
  </si>
  <si>
    <t>Total trading income</t>
  </si>
  <si>
    <t>Trading Income</t>
  </si>
  <si>
    <t>Other net income (Rent)</t>
  </si>
  <si>
    <t>Sales (net of VAT)</t>
  </si>
  <si>
    <t>1. TOTAL TRADING INCOME (excl VAT)</t>
  </si>
  <si>
    <t>Community Facilities</t>
  </si>
  <si>
    <t>Ingredients/Cost of sale</t>
  </si>
  <si>
    <t>Event catering</t>
  </si>
  <si>
    <t>Takings (incl VAT)</t>
  </si>
  <si>
    <t>Total Activities</t>
  </si>
  <si>
    <t>b. Event catering</t>
  </si>
  <si>
    <t>c. Shop</t>
  </si>
  <si>
    <t>Financial Model</t>
  </si>
  <si>
    <t>Other staff</t>
  </si>
  <si>
    <t>Direct café costs (utilities, marketing)</t>
  </si>
  <si>
    <t>Café manager (part time)</t>
  </si>
  <si>
    <t>Café Main Meal (eg jacket potato)</t>
  </si>
  <si>
    <t>Café salad</t>
  </si>
  <si>
    <t>Café Takings</t>
  </si>
  <si>
    <t>VAT</t>
  </si>
  <si>
    <t>Café turnover is calculated by taking away the VAT</t>
  </si>
  <si>
    <t>from the actual till takings</t>
  </si>
  <si>
    <t>Café Turnover (see below)</t>
  </si>
  <si>
    <t>Income and Expenditure Account</t>
  </si>
  <si>
    <t>Based on average daily customers of</t>
  </si>
  <si>
    <t>This page allows simple changes to be made to the major assumptions and to instantly see the impact.  More detailed assumptions can be changed using the yellow cells on other sheets</t>
  </si>
  <si>
    <t>Community Café tool</t>
  </si>
  <si>
    <t xml:space="preserve">Instructions </t>
  </si>
  <si>
    <t>The figures in the spreadsheet are illustrative and of course can all be changed.</t>
  </si>
  <si>
    <t>You may find it helpful to look at our associated Community Café powerpoint before completing the tool.</t>
  </si>
  <si>
    <t>Ownership</t>
  </si>
  <si>
    <t xml:space="preserve">Please note that there are 12 sheets in the workbook, and a further two pages which give some tips on running community cafes. </t>
  </si>
  <si>
    <t>Top tips for running a community café</t>
  </si>
  <si>
    <t>In essence the model allows you to try out different assumptions for your cafe,  and to see what works. It can be used both for existing cafés; for example by entering current performance and looking at what needs to be done to make it viable, or it can be used as part of planning and projections.</t>
  </si>
  <si>
    <t>Example Organisation</t>
  </si>
  <si>
    <t>·         Involve your community from the start in all aspects of your café – community led cafés work the best</t>
  </si>
  <si>
    <t>·         Plan the café space carefully – enough space for seating, and enough space for the kitchen. A café with eight covers will make much less money than a café with twenty-four covers.</t>
  </si>
  <si>
    <t>·         Design a memorable brand, theme and logo – you may want to franchise at a later date when the café is successful.</t>
  </si>
  <si>
    <t>·         Get the budget right – enough money needed for good quality equipment, for furnishing and decorating, enough money for staff and enough money to cover at least your first year’s running costs.</t>
  </si>
  <si>
    <t>·         Get the target market right. Know who will use the café, what kind of food they like, what prices they can afford to pay and when they will use your café.</t>
  </si>
  <si>
    <t>·         Get the menu right – don’t make this exclusively healthy eating if the target market prefers crisps and cola. Healthy eating can be learned, but not by force.</t>
  </si>
  <si>
    <t>·         Cost the food correctly – some items will make a 50%/60% profit; others might make 5% or nothing at all. Some items are there to attract customers, as loss leaders.</t>
  </si>
  <si>
    <t>·         Value your customers – serve good quality food, preferably purchased locally or from ethical sources, nicely presented and well cooked.</t>
  </si>
  <si>
    <t>·         Add small extras – such as a wrapped biscuit with coffee, a side garnish with sandwiches, whipped cream or marshmallows on hot chocolate.</t>
  </si>
  <si>
    <t>·         Offer customer loyalty schemes such as ‘buy five coffees get one free’ – meal deals, children’s menus, special of the day.</t>
  </si>
  <si>
    <t>·         Write a short business plan setting out your aims and objectives and with particular attention to cash flow forecast and profit and loss.</t>
  </si>
  <si>
    <t>·         Have several sources of income. Café sales alone will not make a profit. Consider buffets for other local organisations, sandwich delivery to local companies, events catering.</t>
  </si>
  <si>
    <t>·         Make sure your staff understand customer service and are well trained. In the case of a café the customer is always right. It is better to give customers a free meal or drink if they are unhappy about something than risk them spreading the word that your café is not a place to visit.</t>
  </si>
  <si>
    <t>·         Make sure that your staff follow basic food hygiene guidance. Customers will not come back if they think there is a danger of contamination caused, for instance, by handling food and money without washing hands in between.</t>
  </si>
  <si>
    <t>·         Make sure that you understand and follow the legal requirements and good practice guidelines set out for catering businesses</t>
  </si>
  <si>
    <t>·         Set up a purchasing policy. This will ensure that you adhere as much as possible to ethical food purchasing, avoid wastage and use ethical suppliers.</t>
  </si>
  <si>
    <t>·         Manage and monitor – staffing levels, opening times, food wastage levels, supplier costs, overheads.</t>
  </si>
  <si>
    <t>·         Have clear procedures for cashing up and banking. This avoids misunderstandings over money and money going missing.</t>
  </si>
  <si>
    <t>·         Review your menu regularly and make changes from time to time. Label your food and put prices on the labels which customers can clearly read. Rules for labelling vary and can be complicated. Make sure you understand them and follow the legislation.</t>
  </si>
  <si>
    <t>·         Most importantly of all, smile and enjoy your café. Then your staff and customers will enjoy their experience of working and eating there.</t>
  </si>
  <si>
    <t xml:space="preserve">Locality owns the intellectual property rights for this tool. </t>
  </si>
  <si>
    <t>© Locality. All rights reserved.</t>
  </si>
  <si>
    <r>
      <t xml:space="preserve">The best place to start is the “Scenario Analysis” sheet which allows you to see the overall picture and to do “what if” changes relating to the major assumptions.  On other pages you can change the finer detail (eg menu prices and details, customer numbers, specific costs etc) using </t>
    </r>
    <r>
      <rPr>
        <b/>
        <sz val="12"/>
        <color indexed="8"/>
        <rFont val="Arial"/>
        <family val="2"/>
      </rPr>
      <t>only the yellow cells</t>
    </r>
    <r>
      <rPr>
        <sz val="12"/>
        <color indexed="8"/>
        <rFont val="Arial"/>
        <family val="2"/>
      </rPr>
      <t xml:space="preserve"> (all other cells are locked).
Row 5 of the Scenario Analysis sheet shows the VAT registration threshold as at May 2019. The registration threshold can be checked at https://www.gov.uk/vat-registration-thresholds</t>
    </r>
  </si>
  <si>
    <r>
      <rPr>
        <sz val="12"/>
        <rFont val="Arial"/>
        <family val="2"/>
      </rPr>
      <t xml:space="preserve">(Required if total Vatable sales exceed </t>
    </r>
    <r>
      <rPr>
        <sz val="12"/>
        <color indexed="10"/>
        <rFont val="Arial"/>
        <family val="2"/>
      </rPr>
      <t>£85k</t>
    </r>
    <r>
      <rPr>
        <sz val="12"/>
        <rFont val="Arial"/>
        <family val="2"/>
      </rPr>
      <t xml:space="preserve"> pa)</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</si>
</sst>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quot;£&quot;#,##0.00"/>
    <numFmt numFmtId="174" formatCode="0.000000"/>
    <numFmt numFmtId="175" formatCode="0.00000"/>
    <numFmt numFmtId="176" formatCode="0.0000"/>
    <numFmt numFmtId="177" formatCode="_-* #,##0.0_-;\-* #,##0.0_-;_-* &quot;-&quot;??_-;_-@_-"/>
    <numFmt numFmtId="178" formatCode="_-* #,##0_-;\-* #,##0_-;_-* &quot;-&quot;??_-;_-@_-"/>
    <numFmt numFmtId="179" formatCode="0.000"/>
    <numFmt numFmtId="180" formatCode="0.0"/>
    <numFmt numFmtId="181" formatCode="_(* #,##0_);_(* \(#,##0\);_(* &quot;-&quot;??_);_(@_)"/>
    <numFmt numFmtId="182" formatCode="&quot;£&quot;#,##0.0;[Red]\-&quot;£&quot;#,##0.0"/>
    <numFmt numFmtId="183" formatCode="0.0%"/>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s>
  <fonts count="57">
    <font>
      <sz val="10"/>
      <name val="Arial"/>
      <family val="0"/>
    </font>
    <font>
      <sz val="8"/>
      <name val="Arial"/>
      <family val="2"/>
    </font>
    <font>
      <b/>
      <sz val="10"/>
      <name val="Arial"/>
      <family val="2"/>
    </font>
    <font>
      <sz val="10"/>
      <color indexed="9"/>
      <name val="Arial"/>
      <family val="2"/>
    </font>
    <font>
      <i/>
      <sz val="10"/>
      <name val="Arial"/>
      <family val="2"/>
    </font>
    <font>
      <u val="single"/>
      <sz val="10"/>
      <name val="Arial"/>
      <family val="2"/>
    </font>
    <font>
      <sz val="10"/>
      <color indexed="8"/>
      <name val="Arial"/>
      <family val="2"/>
    </font>
    <font>
      <sz val="8"/>
      <name val="Tahoma"/>
      <family val="2"/>
    </font>
    <font>
      <b/>
      <sz val="14"/>
      <name val="Arial"/>
      <family val="2"/>
    </font>
    <font>
      <sz val="12"/>
      <name val="Arial"/>
      <family val="2"/>
    </font>
    <font>
      <b/>
      <sz val="12"/>
      <color indexed="8"/>
      <name val="Arial"/>
      <family val="2"/>
    </font>
    <font>
      <sz val="12"/>
      <color indexed="8"/>
      <name val="Arial"/>
      <family val="2"/>
    </font>
    <font>
      <b/>
      <sz val="12"/>
      <name val="Arial"/>
      <family val="2"/>
    </font>
    <font>
      <sz val="12"/>
      <color indexed="9"/>
      <name val="Arial"/>
      <family val="2"/>
    </font>
    <font>
      <b/>
      <sz val="18"/>
      <name val="Arial"/>
      <family val="2"/>
    </font>
    <font>
      <sz val="10.25"/>
      <color indexed="8"/>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7.55"/>
      <color indexed="8"/>
      <name val="Arial"/>
      <family val="2"/>
    </font>
    <font>
      <sz val="8.4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Arial"/>
      <family val="2"/>
    </font>
    <font>
      <b/>
      <sz val="12"/>
      <color rgb="FF000000"/>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6">
    <xf numFmtId="0" fontId="0" fillId="0" borderId="0" xfId="0" applyAlignment="1">
      <alignment/>
    </xf>
    <xf numFmtId="0" fontId="2" fillId="0" borderId="0" xfId="0" applyFont="1" applyAlignment="1">
      <alignment/>
    </xf>
    <xf numFmtId="2" fontId="0" fillId="0" borderId="0" xfId="0" applyNumberFormat="1" applyAlignment="1">
      <alignment horizontal="center" wrapText="1"/>
    </xf>
    <xf numFmtId="0" fontId="0" fillId="0" borderId="0" xfId="0" applyAlignment="1">
      <alignment wrapText="1"/>
    </xf>
    <xf numFmtId="0" fontId="0" fillId="0" borderId="0" xfId="0" applyAlignment="1">
      <alignment horizontal="center" wrapText="1"/>
    </xf>
    <xf numFmtId="173" fontId="0" fillId="0" borderId="0" xfId="0" applyNumberFormat="1" applyAlignment="1">
      <alignment/>
    </xf>
    <xf numFmtId="9" fontId="0" fillId="0" borderId="0" xfId="0" applyNumberFormat="1" applyAlignment="1">
      <alignment horizontal="center"/>
    </xf>
    <xf numFmtId="0" fontId="0" fillId="0" borderId="0" xfId="0" applyAlignment="1">
      <alignment horizontal="center"/>
    </xf>
    <xf numFmtId="2" fontId="3" fillId="0" borderId="0" xfId="0" applyNumberFormat="1" applyFont="1" applyAlignment="1">
      <alignment horizontal="center" wrapText="1"/>
    </xf>
    <xf numFmtId="0" fontId="3" fillId="0" borderId="0" xfId="0" applyFont="1" applyAlignment="1">
      <alignment/>
    </xf>
    <xf numFmtId="0" fontId="3" fillId="0" borderId="0" xfId="0" applyFont="1" applyAlignment="1">
      <alignment horizontal="center"/>
    </xf>
    <xf numFmtId="173" fontId="0" fillId="0" borderId="0" xfId="0" applyNumberFormat="1" applyAlignment="1">
      <alignment horizontal="center" wrapText="1"/>
    </xf>
    <xf numFmtId="173" fontId="0" fillId="0" borderId="0" xfId="0" applyNumberFormat="1" applyAlignment="1">
      <alignment horizontal="center"/>
    </xf>
    <xf numFmtId="3" fontId="0" fillId="0" borderId="0" xfId="0" applyNumberFormat="1" applyAlignment="1">
      <alignment/>
    </xf>
    <xf numFmtId="3" fontId="0" fillId="0" borderId="10" xfId="0" applyNumberFormat="1" applyBorder="1" applyAlignment="1">
      <alignment/>
    </xf>
    <xf numFmtId="0" fontId="4" fillId="0" borderId="0" xfId="0" applyFont="1" applyAlignment="1">
      <alignment horizontal="right"/>
    </xf>
    <xf numFmtId="178" fontId="0" fillId="0" borderId="0" xfId="42" applyNumberFormat="1" applyFont="1" applyAlignment="1">
      <alignment/>
    </xf>
    <xf numFmtId="176" fontId="3" fillId="0" borderId="0" xfId="0" applyNumberFormat="1" applyFont="1" applyAlignment="1">
      <alignment horizontal="center" wrapText="1"/>
    </xf>
    <xf numFmtId="9" fontId="0" fillId="0" borderId="0" xfId="57" applyFont="1" applyAlignment="1">
      <alignment horizontal="center" wrapText="1"/>
    </xf>
    <xf numFmtId="9" fontId="0" fillId="0" borderId="0" xfId="57" applyFont="1" applyAlignment="1">
      <alignment wrapText="1"/>
    </xf>
    <xf numFmtId="0" fontId="0" fillId="0" borderId="0" xfId="0" applyAlignment="1">
      <alignment/>
    </xf>
    <xf numFmtId="178" fontId="0" fillId="0" borderId="0" xfId="0" applyNumberFormat="1" applyAlignment="1">
      <alignment/>
    </xf>
    <xf numFmtId="9" fontId="0" fillId="0" borderId="0" xfId="57" applyFont="1" applyAlignment="1">
      <alignment/>
    </xf>
    <xf numFmtId="9" fontId="0" fillId="0" borderId="0" xfId="57" applyFont="1" applyAlignment="1">
      <alignment horizontal="center"/>
    </xf>
    <xf numFmtId="3" fontId="3" fillId="0" borderId="0" xfId="0" applyNumberFormat="1" applyFont="1" applyFill="1" applyAlignment="1">
      <alignment/>
    </xf>
    <xf numFmtId="1" fontId="3" fillId="0" borderId="0" xfId="0" applyNumberFormat="1" applyFont="1" applyFill="1" applyAlignment="1">
      <alignment/>
    </xf>
    <xf numFmtId="1" fontId="3" fillId="0" borderId="0" xfId="57" applyNumberFormat="1" applyFont="1" applyAlignment="1">
      <alignment wrapText="1"/>
    </xf>
    <xf numFmtId="173" fontId="3" fillId="0" borderId="0" xfId="0" applyNumberFormat="1" applyFont="1" applyAlignment="1">
      <alignment horizontal="center" wrapText="1"/>
    </xf>
    <xf numFmtId="0" fontId="3" fillId="0" borderId="0" xfId="0" applyFont="1" applyFill="1" applyAlignment="1">
      <alignment/>
    </xf>
    <xf numFmtId="1" fontId="3" fillId="0" borderId="0" xfId="0" applyNumberFormat="1" applyFont="1" applyAlignment="1">
      <alignment horizontal="center"/>
    </xf>
    <xf numFmtId="0" fontId="0" fillId="0" borderId="11" xfId="0" applyBorder="1" applyAlignment="1">
      <alignment/>
    </xf>
    <xf numFmtId="0" fontId="0" fillId="0" borderId="12" xfId="0" applyBorder="1" applyAlignment="1">
      <alignment/>
    </xf>
    <xf numFmtId="0" fontId="0" fillId="0" borderId="13" xfId="0" applyFill="1"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14" xfId="0" applyBorder="1" applyAlignment="1">
      <alignment/>
    </xf>
    <xf numFmtId="171" fontId="0" fillId="0" borderId="0" xfId="42" applyFont="1" applyAlignment="1">
      <alignment/>
    </xf>
    <xf numFmtId="0" fontId="5" fillId="0" borderId="0" xfId="0" applyFont="1" applyAlignment="1">
      <alignment/>
    </xf>
    <xf numFmtId="0" fontId="0" fillId="0" borderId="15" xfId="0" applyBorder="1" applyAlignment="1">
      <alignment/>
    </xf>
    <xf numFmtId="181" fontId="6" fillId="0" borderId="15" xfId="42" applyNumberFormat="1" applyFont="1" applyFill="1" applyBorder="1" applyAlignment="1">
      <alignment/>
    </xf>
    <xf numFmtId="17" fontId="0" fillId="0" borderId="0" xfId="0" applyNumberFormat="1" applyAlignment="1">
      <alignment horizontal="center"/>
    </xf>
    <xf numFmtId="178" fontId="0" fillId="0" borderId="16" xfId="0" applyNumberFormat="1" applyBorder="1" applyAlignment="1">
      <alignment/>
    </xf>
    <xf numFmtId="0" fontId="0" fillId="0" borderId="0" xfId="0" applyAlignment="1">
      <alignment horizontal="left"/>
    </xf>
    <xf numFmtId="0" fontId="0" fillId="0" borderId="0" xfId="0" applyAlignment="1">
      <alignment horizontal="left" wrapText="1"/>
    </xf>
    <xf numFmtId="0" fontId="2" fillId="0" borderId="0" xfId="0" applyFont="1" applyAlignment="1">
      <alignment horizontal="left"/>
    </xf>
    <xf numFmtId="0" fontId="0" fillId="0" borderId="0" xfId="0" applyFont="1" applyAlignment="1">
      <alignment horizontal="left"/>
    </xf>
    <xf numFmtId="167" fontId="0" fillId="0" borderId="0" xfId="0" applyNumberFormat="1" applyBorder="1" applyAlignment="1">
      <alignment/>
    </xf>
    <xf numFmtId="167" fontId="2" fillId="0" borderId="16" xfId="0" applyNumberFormat="1" applyFont="1" applyBorder="1" applyAlignment="1">
      <alignment/>
    </xf>
    <xf numFmtId="178" fontId="0" fillId="0" borderId="16" xfId="42" applyNumberFormat="1" applyFont="1" applyBorder="1" applyAlignment="1">
      <alignment/>
    </xf>
    <xf numFmtId="183" fontId="0" fillId="0" borderId="0" xfId="57" applyNumberFormat="1" applyFont="1" applyBorder="1" applyAlignment="1">
      <alignment horizontal="center"/>
    </xf>
    <xf numFmtId="178" fontId="2" fillId="0" borderId="0" xfId="0" applyNumberFormat="1" applyFont="1" applyBorder="1" applyAlignment="1">
      <alignment/>
    </xf>
    <xf numFmtId="3" fontId="0" fillId="0" borderId="0" xfId="0" applyNumberFormat="1" applyAlignment="1">
      <alignment horizontal="center"/>
    </xf>
    <xf numFmtId="178" fontId="0" fillId="0" borderId="0" xfId="42" applyNumberFormat="1" applyFont="1" applyAlignment="1">
      <alignment horizontal="center"/>
    </xf>
    <xf numFmtId="183" fontId="0" fillId="0" borderId="0" xfId="57" applyNumberFormat="1" applyFont="1" applyAlignment="1">
      <alignment horizontal="center"/>
    </xf>
    <xf numFmtId="9" fontId="0" fillId="0" borderId="0" xfId="0" applyNumberFormat="1" applyAlignment="1">
      <alignment/>
    </xf>
    <xf numFmtId="178" fontId="2" fillId="0" borderId="0" xfId="0" applyNumberFormat="1" applyFont="1" applyAlignment="1">
      <alignment/>
    </xf>
    <xf numFmtId="0" fontId="4" fillId="0" borderId="0" xfId="0" applyFont="1" applyAlignment="1">
      <alignment/>
    </xf>
    <xf numFmtId="165" fontId="0" fillId="0" borderId="0" xfId="0" applyNumberFormat="1" applyBorder="1" applyAlignment="1">
      <alignment/>
    </xf>
    <xf numFmtId="165" fontId="0" fillId="0" borderId="16" xfId="0" applyNumberFormat="1" applyBorder="1" applyAlignment="1">
      <alignment/>
    </xf>
    <xf numFmtId="165" fontId="0" fillId="0" borderId="0" xfId="0" applyNumberFormat="1" applyAlignment="1">
      <alignment/>
    </xf>
    <xf numFmtId="165" fontId="2" fillId="0" borderId="16" xfId="0" applyNumberFormat="1" applyFont="1" applyBorder="1" applyAlignment="1">
      <alignment/>
    </xf>
    <xf numFmtId="178" fontId="0" fillId="0" borderId="15" xfId="42" applyNumberFormat="1" applyFont="1" applyBorder="1" applyAlignment="1">
      <alignment/>
    </xf>
    <xf numFmtId="178" fontId="0" fillId="0" borderId="0" xfId="42" applyNumberFormat="1" applyFont="1" applyBorder="1" applyAlignment="1">
      <alignment/>
    </xf>
    <xf numFmtId="178" fontId="0" fillId="0" borderId="10" xfId="0" applyNumberFormat="1" applyBorder="1" applyAlignment="1">
      <alignment/>
    </xf>
    <xf numFmtId="181" fontId="0" fillId="0" borderId="0" xfId="42" applyNumberFormat="1" applyFont="1" applyAlignment="1">
      <alignment/>
    </xf>
    <xf numFmtId="9" fontId="0" fillId="0" borderId="13" xfId="0" applyNumberFormat="1" applyFill="1" applyBorder="1" applyAlignment="1">
      <alignment horizontal="center"/>
    </xf>
    <xf numFmtId="178" fontId="0" fillId="0" borderId="17" xfId="42" applyNumberFormat="1" applyFont="1" applyBorder="1" applyAlignment="1">
      <alignment/>
    </xf>
    <xf numFmtId="0" fontId="0" fillId="0" borderId="0" xfId="0" applyBorder="1" applyAlignment="1">
      <alignment/>
    </xf>
    <xf numFmtId="3" fontId="0" fillId="0" borderId="18" xfId="0" applyNumberFormat="1" applyBorder="1" applyAlignment="1">
      <alignment/>
    </xf>
    <xf numFmtId="9" fontId="3" fillId="0" borderId="0" xfId="0" applyNumberFormat="1" applyFont="1" applyAlignment="1">
      <alignment/>
    </xf>
    <xf numFmtId="9" fontId="0" fillId="0" borderId="19" xfId="0" applyNumberFormat="1" applyBorder="1" applyAlignment="1">
      <alignment horizontal="center"/>
    </xf>
    <xf numFmtId="0" fontId="0" fillId="0" borderId="0" xfId="0" applyFont="1" applyAlignment="1">
      <alignment/>
    </xf>
    <xf numFmtId="0" fontId="3" fillId="0" borderId="14" xfId="0" applyFont="1" applyFill="1" applyBorder="1" applyAlignment="1">
      <alignment/>
    </xf>
    <xf numFmtId="10" fontId="3" fillId="0" borderId="20" xfId="0" applyNumberFormat="1" applyFont="1" applyFill="1" applyBorder="1" applyAlignment="1">
      <alignment horizontal="center"/>
    </xf>
    <xf numFmtId="16" fontId="0" fillId="0" borderId="0" xfId="0" applyNumberFormat="1" applyAlignment="1">
      <alignment horizontal="center" wrapText="1"/>
    </xf>
    <xf numFmtId="0" fontId="0" fillId="0" borderId="0" xfId="0" applyFill="1" applyAlignment="1">
      <alignment/>
    </xf>
    <xf numFmtId="173" fontId="0" fillId="0" borderId="16" xfId="0" applyNumberFormat="1" applyBorder="1" applyAlignment="1">
      <alignment/>
    </xf>
    <xf numFmtId="167" fontId="0" fillId="0" borderId="0" xfId="0" applyNumberFormat="1" applyAlignment="1">
      <alignment/>
    </xf>
    <xf numFmtId="3" fontId="0" fillId="0" borderId="0" xfId="0" applyNumberFormat="1" applyBorder="1" applyAlignment="1">
      <alignment/>
    </xf>
    <xf numFmtId="178" fontId="0" fillId="0" borderId="13" xfId="42" applyNumberFormat="1" applyFont="1" applyBorder="1" applyAlignment="1">
      <alignment/>
    </xf>
    <xf numFmtId="178" fontId="0" fillId="0" borderId="0" xfId="0" applyNumberFormat="1" applyBorder="1" applyAlignment="1">
      <alignment/>
    </xf>
    <xf numFmtId="9" fontId="0" fillId="0" borderId="13" xfId="57" applyFont="1" applyBorder="1" applyAlignment="1">
      <alignment horizontal="right"/>
    </xf>
    <xf numFmtId="9" fontId="0" fillId="0" borderId="20" xfId="57" applyFont="1" applyBorder="1" applyAlignment="1">
      <alignment/>
    </xf>
    <xf numFmtId="0" fontId="0" fillId="33" borderId="0" xfId="0" applyFill="1" applyAlignment="1" applyProtection="1">
      <alignment horizontal="center"/>
      <protection locked="0"/>
    </xf>
    <xf numFmtId="0" fontId="0" fillId="33" borderId="17" xfId="0" applyFill="1" applyBorder="1" applyAlignment="1" applyProtection="1">
      <alignment horizontal="center"/>
      <protection locked="0"/>
    </xf>
    <xf numFmtId="10" fontId="0" fillId="33" borderId="13" xfId="0" applyNumberFormat="1" applyFill="1" applyBorder="1" applyAlignment="1" applyProtection="1">
      <alignment horizontal="center"/>
      <protection locked="0"/>
    </xf>
    <xf numFmtId="0" fontId="0" fillId="33" borderId="0" xfId="0"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horizontal="center" wrapText="1"/>
      <protection locked="0"/>
    </xf>
    <xf numFmtId="173" fontId="0" fillId="33" borderId="0" xfId="0" applyNumberFormat="1" applyFill="1" applyAlignment="1" applyProtection="1">
      <alignment horizontal="center" wrapText="1"/>
      <protection locked="0"/>
    </xf>
    <xf numFmtId="0" fontId="3" fillId="0" borderId="0" xfId="0" applyFont="1" applyFill="1" applyAlignment="1" applyProtection="1">
      <alignment horizontal="center" wrapText="1"/>
      <protection locked="0"/>
    </xf>
    <xf numFmtId="0" fontId="0" fillId="33" borderId="13" xfId="0" applyFill="1" applyBorder="1" applyAlignment="1" applyProtection="1">
      <alignment horizontal="center"/>
      <protection locked="0"/>
    </xf>
    <xf numFmtId="9" fontId="0" fillId="33" borderId="0" xfId="0" applyNumberFormat="1" applyFill="1" applyAlignment="1" applyProtection="1">
      <alignment horizontal="center"/>
      <protection locked="0"/>
    </xf>
    <xf numFmtId="173" fontId="0" fillId="33" borderId="0" xfId="0" applyNumberFormat="1" applyFill="1" applyAlignment="1" applyProtection="1">
      <alignment horizontal="center"/>
      <protection locked="0"/>
    </xf>
    <xf numFmtId="17" fontId="0" fillId="33" borderId="0" xfId="0" applyNumberFormat="1" applyFill="1" applyAlignment="1" applyProtection="1">
      <alignment horizontal="center"/>
      <protection locked="0"/>
    </xf>
    <xf numFmtId="9" fontId="0" fillId="33" borderId="0" xfId="57" applyFont="1" applyFill="1" applyAlignment="1" applyProtection="1">
      <alignment horizontal="center"/>
      <protection locked="0"/>
    </xf>
    <xf numFmtId="178" fontId="0" fillId="33" borderId="0" xfId="42" applyNumberFormat="1" applyFont="1" applyFill="1" applyAlignment="1" applyProtection="1">
      <alignment/>
      <protection locked="0"/>
    </xf>
    <xf numFmtId="0" fontId="4" fillId="33" borderId="0" xfId="0" applyFont="1" applyFill="1" applyAlignment="1" applyProtection="1">
      <alignment/>
      <protection locked="0"/>
    </xf>
    <xf numFmtId="1" fontId="0" fillId="33" borderId="0" xfId="0" applyNumberFormat="1" applyFill="1" applyAlignment="1" applyProtection="1">
      <alignment/>
      <protection locked="0"/>
    </xf>
    <xf numFmtId="178" fontId="0" fillId="0" borderId="10" xfId="42" applyNumberFormat="1" applyFont="1" applyBorder="1" applyAlignment="1">
      <alignment/>
    </xf>
    <xf numFmtId="1" fontId="0" fillId="0" borderId="13" xfId="0" applyNumberFormat="1" applyFill="1" applyBorder="1" applyAlignment="1" applyProtection="1">
      <alignment horizontal="center"/>
      <protection locked="0"/>
    </xf>
    <xf numFmtId="0" fontId="9" fillId="0" borderId="0" xfId="0" applyFont="1" applyAlignment="1">
      <alignment/>
    </xf>
    <xf numFmtId="0" fontId="54" fillId="0" borderId="0" xfId="0" applyFont="1" applyAlignment="1">
      <alignment vertical="center" wrapText="1"/>
    </xf>
    <xf numFmtId="0" fontId="12" fillId="0" borderId="0" xfId="0" applyFont="1" applyAlignment="1">
      <alignment wrapText="1"/>
    </xf>
    <xf numFmtId="0" fontId="9" fillId="0" borderId="0" xfId="0" applyFont="1" applyAlignment="1">
      <alignment wrapText="1"/>
    </xf>
    <xf numFmtId="0" fontId="12" fillId="0" borderId="0" xfId="0" applyFont="1" applyFill="1" applyAlignment="1" applyProtection="1">
      <alignment/>
      <protection locked="0"/>
    </xf>
    <xf numFmtId="0" fontId="12" fillId="0" borderId="0" xfId="0" applyFont="1" applyAlignment="1">
      <alignment/>
    </xf>
    <xf numFmtId="178" fontId="9" fillId="0" borderId="0" xfId="0" applyNumberFormat="1" applyFont="1" applyAlignment="1">
      <alignment/>
    </xf>
    <xf numFmtId="0" fontId="13" fillId="0" borderId="0" xfId="0" applyFont="1" applyAlignment="1">
      <alignment/>
    </xf>
    <xf numFmtId="0" fontId="13" fillId="0" borderId="0" xfId="0" applyFont="1" applyAlignment="1">
      <alignment horizontal="center"/>
    </xf>
    <xf numFmtId="0" fontId="9" fillId="0" borderId="21" xfId="0" applyFont="1" applyBorder="1" applyAlignment="1">
      <alignment horizontal="center"/>
    </xf>
    <xf numFmtId="0" fontId="9" fillId="0" borderId="0" xfId="0" applyFont="1" applyAlignment="1">
      <alignment vertical="center"/>
    </xf>
    <xf numFmtId="0" fontId="13" fillId="0" borderId="0" xfId="0" applyFont="1" applyAlignment="1" applyProtection="1">
      <alignment vertical="center"/>
      <protection locked="0"/>
    </xf>
    <xf numFmtId="9" fontId="9" fillId="0" borderId="0" xfId="57" applyFont="1" applyAlignment="1">
      <alignment horizontal="center" vertical="center"/>
    </xf>
    <xf numFmtId="0" fontId="9" fillId="0" borderId="11" xfId="0" applyFont="1" applyBorder="1" applyAlignment="1">
      <alignment/>
    </xf>
    <xf numFmtId="0" fontId="9" fillId="0" borderId="18" xfId="0" applyFont="1" applyBorder="1" applyAlignment="1">
      <alignment/>
    </xf>
    <xf numFmtId="0" fontId="9" fillId="0" borderId="18" xfId="0" applyFont="1" applyBorder="1" applyAlignment="1">
      <alignment horizontal="center"/>
    </xf>
    <xf numFmtId="0" fontId="9" fillId="0" borderId="17" xfId="0" applyFont="1" applyBorder="1" applyAlignment="1">
      <alignment/>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178" fontId="9" fillId="0" borderId="0" xfId="42" applyNumberFormat="1" applyFont="1" applyBorder="1" applyAlignment="1">
      <alignment/>
    </xf>
    <xf numFmtId="0" fontId="9" fillId="0" borderId="0" xfId="0" applyFont="1" applyAlignment="1" applyProtection="1">
      <alignment/>
      <protection locked="0"/>
    </xf>
    <xf numFmtId="178" fontId="9" fillId="0" borderId="15" xfId="42" applyNumberFormat="1" applyFont="1" applyBorder="1" applyAlignment="1">
      <alignment/>
    </xf>
    <xf numFmtId="0" fontId="13" fillId="34" borderId="0" xfId="0" applyFont="1" applyFill="1" applyAlignment="1" applyProtection="1">
      <alignment vertical="center"/>
      <protection locked="0"/>
    </xf>
    <xf numFmtId="9" fontId="13" fillId="0" borderId="0" xfId="57" applyFont="1" applyAlignment="1">
      <alignment horizontal="center" vertical="center"/>
    </xf>
    <xf numFmtId="9" fontId="9" fillId="0" borderId="21" xfId="0" applyNumberFormat="1" applyFont="1" applyBorder="1" applyAlignment="1">
      <alignment horizontal="center" vertical="center"/>
    </xf>
    <xf numFmtId="1" fontId="9" fillId="0" borderId="0" xfId="0" applyNumberFormat="1" applyFont="1" applyAlignment="1">
      <alignment vertical="center"/>
    </xf>
    <xf numFmtId="9" fontId="9" fillId="0" borderId="21" xfId="57" applyFont="1" applyBorder="1" applyAlignment="1">
      <alignment horizontal="center" vertical="center"/>
    </xf>
    <xf numFmtId="1" fontId="9" fillId="0" borderId="0" xfId="0" applyNumberFormat="1" applyFont="1" applyBorder="1" applyAlignment="1">
      <alignment horizontal="right" vertical="center"/>
    </xf>
    <xf numFmtId="9" fontId="9" fillId="0" borderId="0" xfId="57" applyFont="1" applyBorder="1" applyAlignment="1">
      <alignment horizontal="center" vertical="center"/>
    </xf>
    <xf numFmtId="9" fontId="9" fillId="0" borderId="13" xfId="57" applyFont="1" applyBorder="1" applyAlignment="1">
      <alignment horizontal="center"/>
    </xf>
    <xf numFmtId="0" fontId="13" fillId="0" borderId="0" xfId="0" applyFont="1" applyAlignment="1" applyProtection="1">
      <alignment/>
      <protection locked="0"/>
    </xf>
    <xf numFmtId="1" fontId="9" fillId="0" borderId="0" xfId="0" applyNumberFormat="1" applyFont="1" applyBorder="1" applyAlignment="1">
      <alignment horizontal="right"/>
    </xf>
    <xf numFmtId="9" fontId="9" fillId="0" borderId="0" xfId="57" applyFont="1" applyBorder="1" applyAlignment="1">
      <alignment horizontal="center"/>
    </xf>
    <xf numFmtId="1" fontId="9" fillId="0" borderId="0" xfId="0" applyNumberFormat="1" applyFont="1" applyBorder="1" applyAlignment="1">
      <alignment horizontal="left" vertical="center"/>
    </xf>
    <xf numFmtId="181" fontId="9" fillId="0" borderId="0" xfId="42" applyNumberFormat="1" applyFont="1" applyBorder="1" applyAlignment="1">
      <alignment/>
    </xf>
    <xf numFmtId="181" fontId="9" fillId="0" borderId="10" xfId="42" applyNumberFormat="1"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20" xfId="0" applyFont="1" applyBorder="1" applyAlignment="1">
      <alignment/>
    </xf>
    <xf numFmtId="3" fontId="9" fillId="0" borderId="0" xfId="0" applyNumberFormat="1" applyFont="1" applyBorder="1" applyAlignment="1">
      <alignment/>
    </xf>
    <xf numFmtId="3" fontId="9" fillId="0" borderId="10" xfId="0" applyNumberFormat="1" applyFont="1" applyBorder="1" applyAlignment="1">
      <alignment/>
    </xf>
    <xf numFmtId="178" fontId="9" fillId="0" borderId="0" xfId="42" applyNumberFormat="1" applyFont="1" applyAlignment="1">
      <alignment/>
    </xf>
    <xf numFmtId="0" fontId="9" fillId="0" borderId="0" xfId="0" applyFont="1" applyAlignment="1">
      <alignment horizontal="left" vertical="center" wrapText="1" indent="6"/>
    </xf>
    <xf numFmtId="0" fontId="14" fillId="0" borderId="0" xfId="0" applyFont="1" applyAlignment="1">
      <alignment vertical="center"/>
    </xf>
    <xf numFmtId="0" fontId="8" fillId="0" borderId="0" xfId="0" applyFont="1" applyAlignment="1">
      <alignment wrapText="1"/>
    </xf>
    <xf numFmtId="0" fontId="0" fillId="0" borderId="0" xfId="0" applyFont="1" applyAlignment="1">
      <alignment wrapText="1"/>
    </xf>
    <xf numFmtId="0" fontId="55" fillId="0" borderId="0" xfId="0" applyFont="1" applyAlignment="1">
      <alignment wrapText="1"/>
    </xf>
    <xf numFmtId="0" fontId="9" fillId="0" borderId="0" xfId="0" applyFont="1" applyFill="1" applyAlignment="1">
      <alignment/>
    </xf>
    <xf numFmtId="0" fontId="56" fillId="0" borderId="0" xfId="0" applyFont="1" applyAlignment="1">
      <alignment/>
    </xf>
    <xf numFmtId="1" fontId="9" fillId="0" borderId="22" xfId="0" applyNumberFormat="1" applyFont="1" applyBorder="1" applyAlignment="1">
      <alignment horizontal="right" vertical="center"/>
    </xf>
    <xf numFmtId="1" fontId="9" fillId="0" borderId="16" xfId="0" applyNumberFormat="1" applyFont="1" applyBorder="1" applyAlignment="1">
      <alignment horizontal="right" vertical="center"/>
    </xf>
    <xf numFmtId="0" fontId="9" fillId="0" borderId="22" xfId="0" applyFont="1" applyBorder="1" applyAlignment="1">
      <alignment horizontal="right"/>
    </xf>
    <xf numFmtId="0" fontId="9" fillId="0" borderId="16" xfId="0" applyFont="1" applyBorder="1" applyAlignment="1">
      <alignment horizontal="right"/>
    </xf>
    <xf numFmtId="0" fontId="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Monthly P&amp;L</a:t>
            </a:r>
          </a:p>
        </c:rich>
      </c:tx>
      <c:layout>
        <c:manualLayout>
          <c:xMode val="factor"/>
          <c:yMode val="factor"/>
          <c:x val="-0.00975"/>
          <c:y val="0"/>
        </c:manualLayout>
      </c:layout>
      <c:spPr>
        <a:noFill/>
        <a:ln>
          <a:noFill/>
        </a:ln>
      </c:spPr>
    </c:title>
    <c:plotArea>
      <c:layout>
        <c:manualLayout>
          <c:xMode val="edge"/>
          <c:yMode val="edge"/>
          <c:x val="0.01475"/>
          <c:y val="0.1545"/>
          <c:w val="0.9705"/>
          <c:h val="0.806"/>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'Monthly I&amp;E'!$D$1:$O$1</c:f>
              <c:strCache>
                <c:ptCount val="1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strCache>
            </c:strRef>
          </c:cat>
          <c:val>
            <c:numRef>
              <c:f>'Monthly I&amp;E'!$D$69:$O$69</c:f>
              <c:numCache>
                <c:ptCount val="12"/>
                <c:pt idx="0">
                  <c:v>-206.5</c:v>
                </c:pt>
                <c:pt idx="1">
                  <c:v>-357.5</c:v>
                </c:pt>
                <c:pt idx="2">
                  <c:v>-357.5</c:v>
                </c:pt>
                <c:pt idx="3">
                  <c:v>-356</c:v>
                </c:pt>
                <c:pt idx="4">
                  <c:v>-355</c:v>
                </c:pt>
                <c:pt idx="5">
                  <c:v>-357</c:v>
                </c:pt>
                <c:pt idx="6">
                  <c:v>-357</c:v>
                </c:pt>
                <c:pt idx="7">
                  <c:v>-357</c:v>
                </c:pt>
                <c:pt idx="8">
                  <c:v>-355.5</c:v>
                </c:pt>
                <c:pt idx="9">
                  <c:v>-356.5</c:v>
                </c:pt>
                <c:pt idx="10">
                  <c:v>-357</c:v>
                </c:pt>
                <c:pt idx="11">
                  <c:v>-357.5</c:v>
                </c:pt>
              </c:numCache>
            </c:numRef>
          </c:val>
          <c:smooth val="0"/>
        </c:ser>
        <c:marker val="1"/>
        <c:axId val="59364189"/>
        <c:axId val="64515654"/>
      </c:lineChart>
      <c:dateAx>
        <c:axId val="59364189"/>
        <c:scaling>
          <c:orientation val="minMax"/>
        </c:scaling>
        <c:axPos val="b"/>
        <c:delete val="0"/>
        <c:numFmt formatCode="mmm-yy" sourceLinked="0"/>
        <c:majorTickMark val="out"/>
        <c:minorTickMark val="none"/>
        <c:tickLblPos val="nextTo"/>
        <c:spPr>
          <a:ln w="3175">
            <a:solidFill>
              <a:srgbClr val="000000"/>
            </a:solidFill>
          </a:ln>
        </c:spPr>
        <c:crossAx val="64515654"/>
        <c:crosses val="autoZero"/>
        <c:auto val="0"/>
        <c:baseTimeUnit val="months"/>
        <c:majorUnit val="1"/>
        <c:majorTimeUnit val="months"/>
        <c:minorUnit val="1"/>
        <c:minorTimeUnit val="months"/>
        <c:noMultiLvlLbl val="0"/>
      </c:dateAx>
      <c:valAx>
        <c:axId val="645156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364189"/>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Café Takings</a:t>
            </a:r>
          </a:p>
        </c:rich>
      </c:tx>
      <c:layout>
        <c:manualLayout>
          <c:xMode val="factor"/>
          <c:yMode val="factor"/>
          <c:x val="-0.0015"/>
          <c:y val="-0.00225"/>
        </c:manualLayout>
      </c:layout>
      <c:spPr>
        <a:noFill/>
        <a:ln>
          <a:noFill/>
        </a:ln>
      </c:spPr>
    </c:title>
    <c:plotArea>
      <c:layout>
        <c:manualLayout>
          <c:xMode val="edge"/>
          <c:yMode val="edge"/>
          <c:x val="0.333"/>
          <c:y val="0.2725"/>
          <c:w val="0.334"/>
          <c:h val="0.54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0%" sourceLinked="0"/>
            <c:showLegendKey val="0"/>
            <c:showVal val="0"/>
            <c:showBubbleSize val="0"/>
            <c:showCatName val="1"/>
            <c:showSerName val="0"/>
            <c:showLeaderLines val="1"/>
            <c:showPercent val="1"/>
          </c:dLbls>
          <c:cat>
            <c:strRef>
              <c:f>'Gross Profit Summary'!$A$6:$A$11</c:f>
              <c:strCache>
                <c:ptCount val="6"/>
                <c:pt idx="0">
                  <c:v>Hot Drinks (e.g. tea/coffee)</c:v>
                </c:pt>
                <c:pt idx="1">
                  <c:v>Soft Cold Drinks</c:v>
                </c:pt>
                <c:pt idx="2">
                  <c:v>Cakes &amp; Pastries</c:v>
                </c:pt>
                <c:pt idx="3">
                  <c:v>Cold Sandwiches</c:v>
                </c:pt>
                <c:pt idx="4">
                  <c:v>Café Main Meal (eg jacket potato)</c:v>
                </c:pt>
                <c:pt idx="5">
                  <c:v>Café salad</c:v>
                </c:pt>
              </c:strCache>
            </c:strRef>
          </c:cat>
          <c:val>
            <c:numRef>
              <c:f>'Gross Profit Summary'!$E$6:$E$11</c:f>
              <c:numCache>
                <c:ptCount val="6"/>
                <c:pt idx="0">
                  <c:v>0</c:v>
                </c:pt>
                <c:pt idx="1">
                  <c:v>0</c:v>
                </c:pt>
                <c:pt idx="2">
                  <c:v>0</c:v>
                </c:pt>
                <c:pt idx="3">
                  <c:v>0</c:v>
                </c:pt>
                <c:pt idx="4">
                  <c:v>0</c:v>
                </c:pt>
                <c:pt idx="5">
                  <c:v>0</c:v>
                </c:pt>
              </c:numCache>
            </c:numRef>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Income (net of VAT) split by product group</a:t>
            </a:r>
          </a:p>
        </c:rich>
      </c:tx>
      <c:layout>
        <c:manualLayout>
          <c:xMode val="factor"/>
          <c:yMode val="factor"/>
          <c:x val="0.0015"/>
          <c:y val="-0.00225"/>
        </c:manualLayout>
      </c:layout>
      <c:spPr>
        <a:noFill/>
        <a:ln>
          <a:noFill/>
        </a:ln>
      </c:spPr>
    </c:title>
    <c:plotArea>
      <c:layout>
        <c:manualLayout>
          <c:xMode val="edge"/>
          <c:yMode val="edge"/>
          <c:x val="0.01675"/>
          <c:y val="0.087"/>
          <c:w val="0.882"/>
          <c:h val="0.895"/>
        </c:manualLayout>
      </c:layout>
      <c:barChart>
        <c:barDir val="col"/>
        <c:grouping val="clustered"/>
        <c:varyColors val="0"/>
        <c:ser>
          <c:idx val="0"/>
          <c:order val="0"/>
          <c:tx>
            <c:v>Income</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'Gross Profit Summary'!$A$6:$A$11</c:f>
              <c:strCache>
                <c:ptCount val="6"/>
                <c:pt idx="0">
                  <c:v>Hot Drinks (e.g. tea/coffee)</c:v>
                </c:pt>
                <c:pt idx="1">
                  <c:v>Soft Cold Drinks</c:v>
                </c:pt>
                <c:pt idx="2">
                  <c:v>Cakes &amp; Pastries</c:v>
                </c:pt>
                <c:pt idx="3">
                  <c:v>Cold Sandwiches</c:v>
                </c:pt>
                <c:pt idx="4">
                  <c:v>Café Main Meal (eg jacket potato)</c:v>
                </c:pt>
                <c:pt idx="5">
                  <c:v>Café salad</c:v>
                </c:pt>
              </c:strCache>
            </c:strRef>
          </c:cat>
          <c:val>
            <c:numRef>
              <c:f>'Gross Profit Summary'!$F$6:$F$11</c:f>
              <c:numCache>
                <c:ptCount val="6"/>
                <c:pt idx="0">
                  <c:v>0</c:v>
                </c:pt>
                <c:pt idx="1">
                  <c:v>0</c:v>
                </c:pt>
                <c:pt idx="2">
                  <c:v>0</c:v>
                </c:pt>
                <c:pt idx="3">
                  <c:v>0</c:v>
                </c:pt>
                <c:pt idx="4">
                  <c:v>0</c:v>
                </c:pt>
                <c:pt idx="5">
                  <c:v>0</c:v>
                </c:pt>
              </c:numCache>
            </c:numRef>
          </c:val>
        </c:ser>
        <c:ser>
          <c:idx val="1"/>
          <c:order val="1"/>
          <c:tx>
            <c:v>Ingredients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'Gross Profit Summary'!$G$6:$G$11</c:f>
              <c:numCache>
                <c:ptCount val="6"/>
                <c:pt idx="0">
                  <c:v>0</c:v>
                </c:pt>
                <c:pt idx="1">
                  <c:v>0</c:v>
                </c:pt>
                <c:pt idx="2">
                  <c:v>0</c:v>
                </c:pt>
                <c:pt idx="3">
                  <c:v>0</c:v>
                </c:pt>
                <c:pt idx="4">
                  <c:v>0</c:v>
                </c:pt>
                <c:pt idx="5">
                  <c:v>0</c:v>
                </c:pt>
              </c:numCache>
            </c:numRef>
          </c:val>
        </c:ser>
        <c:axId val="43769975"/>
        <c:axId val="58385456"/>
      </c:barChart>
      <c:lineChart>
        <c:grouping val="standard"/>
        <c:varyColors val="0"/>
        <c:ser>
          <c:idx val="2"/>
          <c:order val="2"/>
          <c:tx>
            <c:v>Gross profit %</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val>
            <c:numRef>
              <c:f>'Gross Profit Summary'!$I$6:$I$11</c:f>
              <c:numCache>
                <c:ptCount val="6"/>
                <c:pt idx="0">
                  <c:v>0</c:v>
                </c:pt>
                <c:pt idx="1">
                  <c:v>0</c:v>
                </c:pt>
                <c:pt idx="2">
                  <c:v>0</c:v>
                </c:pt>
                <c:pt idx="3">
                  <c:v>0</c:v>
                </c:pt>
                <c:pt idx="4">
                  <c:v>0</c:v>
                </c:pt>
                <c:pt idx="5">
                  <c:v>0</c:v>
                </c:pt>
              </c:numCache>
            </c:numRef>
          </c:val>
          <c:smooth val="0"/>
        </c:ser>
        <c:axId val="55707057"/>
        <c:axId val="31601466"/>
      </c:lineChart>
      <c:catAx>
        <c:axId val="43769975"/>
        <c:scaling>
          <c:orientation val="minMax"/>
        </c:scaling>
        <c:axPos val="b"/>
        <c:delete val="0"/>
        <c:numFmt formatCode="General" sourceLinked="1"/>
        <c:majorTickMark val="out"/>
        <c:minorTickMark val="none"/>
        <c:tickLblPos val="nextTo"/>
        <c:spPr>
          <a:ln w="3175">
            <a:solidFill>
              <a:srgbClr val="000000"/>
            </a:solidFill>
          </a:ln>
        </c:spPr>
        <c:crossAx val="58385456"/>
        <c:crosses val="autoZero"/>
        <c:auto val="1"/>
        <c:lblOffset val="100"/>
        <c:tickLblSkip val="1"/>
        <c:noMultiLvlLbl val="0"/>
      </c:catAx>
      <c:valAx>
        <c:axId val="583854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769975"/>
        <c:crossesAt val="1"/>
        <c:crossBetween val="between"/>
        <c:dispUnits/>
      </c:valAx>
      <c:catAx>
        <c:axId val="55707057"/>
        <c:scaling>
          <c:orientation val="minMax"/>
        </c:scaling>
        <c:axPos val="b"/>
        <c:delete val="1"/>
        <c:majorTickMark val="out"/>
        <c:minorTickMark val="none"/>
        <c:tickLblPos val="nextTo"/>
        <c:crossAx val="31601466"/>
        <c:crosses val="autoZero"/>
        <c:auto val="1"/>
        <c:lblOffset val="100"/>
        <c:tickLblSkip val="1"/>
        <c:noMultiLvlLbl val="0"/>
      </c:catAx>
      <c:valAx>
        <c:axId val="31601466"/>
        <c:scaling>
          <c:orientation val="minMax"/>
        </c:scaling>
        <c:axPos val="l"/>
        <c:delete val="0"/>
        <c:numFmt formatCode="General" sourceLinked="1"/>
        <c:majorTickMark val="out"/>
        <c:minorTickMark val="none"/>
        <c:tickLblPos val="nextTo"/>
        <c:spPr>
          <a:ln w="3175">
            <a:solidFill>
              <a:srgbClr val="000000"/>
            </a:solidFill>
          </a:ln>
        </c:spPr>
        <c:crossAx val="55707057"/>
        <c:crosses val="max"/>
        <c:crossBetween val="between"/>
        <c:dispUnits/>
      </c:valAx>
      <c:spPr>
        <a:noFill/>
        <a:ln w="12700">
          <a:solidFill>
            <a:srgbClr val="808080"/>
          </a:solidFill>
        </a:ln>
      </c:spPr>
    </c:plotArea>
    <c:legend>
      <c:legendPos val="r"/>
      <c:layout>
        <c:manualLayout>
          <c:xMode val="edge"/>
          <c:yMode val="edge"/>
          <c:x val="0.90975"/>
          <c:y val="0.226"/>
          <c:w val="0.0855"/>
          <c:h val="0.4"/>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Income Summary</a:t>
            </a:r>
          </a:p>
        </c:rich>
      </c:tx>
      <c:layout>
        <c:manualLayout>
          <c:xMode val="factor"/>
          <c:yMode val="factor"/>
          <c:x val="0"/>
          <c:y val="-0.00225"/>
        </c:manualLayout>
      </c:layout>
      <c:spPr>
        <a:noFill/>
        <a:ln>
          <a:noFill/>
        </a:ln>
      </c:spPr>
    </c:title>
    <c:plotArea>
      <c:layout>
        <c:manualLayout>
          <c:xMode val="edge"/>
          <c:yMode val="edge"/>
          <c:x val="0.3145"/>
          <c:y val="0.24175"/>
          <c:w val="0.36825"/>
          <c:h val="0.599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numFmt formatCode="0%" sourceLinked="0"/>
            <c:showLegendKey val="0"/>
            <c:showVal val="0"/>
            <c:showBubbleSize val="0"/>
            <c:showCatName val="1"/>
            <c:showSerName val="0"/>
            <c:showLeaderLines val="1"/>
            <c:showPercent val="1"/>
          </c:dLbls>
          <c:cat>
            <c:strRef>
              <c:f>'Gross Profit Summary'!$A$17:$A$20</c:f>
              <c:strCache>
                <c:ptCount val="4"/>
                <c:pt idx="0">
                  <c:v>Café</c:v>
                </c:pt>
                <c:pt idx="1">
                  <c:v>Shop</c:v>
                </c:pt>
                <c:pt idx="2">
                  <c:v>Event catering</c:v>
                </c:pt>
                <c:pt idx="3">
                  <c:v>Community Facilities</c:v>
                </c:pt>
              </c:strCache>
            </c:strRef>
          </c:cat>
          <c:val>
            <c:numRef>
              <c:f>'Gross Profit Summary'!$F$17:$F$20</c:f>
              <c:numCache>
                <c:ptCount val="4"/>
                <c:pt idx="0">
                  <c:v>0</c:v>
                </c:pt>
                <c:pt idx="1">
                  <c:v>0</c:v>
                </c:pt>
                <c:pt idx="2">
                  <c:v>0</c:v>
                </c:pt>
                <c:pt idx="3">
                  <c:v>0</c:v>
                </c:pt>
              </c:numCache>
            </c:numRef>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Gross Profit Summary</a:t>
            </a:r>
          </a:p>
        </c:rich>
      </c:tx>
      <c:layout>
        <c:manualLayout>
          <c:xMode val="factor"/>
          <c:yMode val="factor"/>
          <c:x val="0.0015"/>
          <c:y val="-0.00225"/>
        </c:manualLayout>
      </c:layout>
      <c:spPr>
        <a:noFill/>
        <a:ln>
          <a:noFill/>
        </a:ln>
      </c:spPr>
    </c:title>
    <c:plotArea>
      <c:layout>
        <c:manualLayout>
          <c:xMode val="edge"/>
          <c:yMode val="edge"/>
          <c:x val="0.29775"/>
          <c:y val="0.21575"/>
          <c:w val="0.40275"/>
          <c:h val="0.656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numFmt formatCode="0%" sourceLinked="0"/>
            <c:showLegendKey val="0"/>
            <c:showVal val="1"/>
            <c:showBubbleSize val="0"/>
            <c:showCatName val="1"/>
            <c:showSerName val="0"/>
            <c:showLeaderLines val="1"/>
            <c:showPercent val="1"/>
          </c:dLbls>
          <c:cat>
            <c:strRef>
              <c:f>'Gross Profit Summary'!$A$17:$A$20</c:f>
              <c:strCache>
                <c:ptCount val="4"/>
                <c:pt idx="0">
                  <c:v>Café</c:v>
                </c:pt>
                <c:pt idx="1">
                  <c:v>Shop</c:v>
                </c:pt>
                <c:pt idx="2">
                  <c:v>Event catering</c:v>
                </c:pt>
                <c:pt idx="3">
                  <c:v>Community Facilities</c:v>
                </c:pt>
              </c:strCache>
            </c:strRef>
          </c:cat>
          <c:val>
            <c:numRef>
              <c:f>'Gross Profit Summary'!$H$17:$H$20</c:f>
              <c:numCache>
                <c:ptCount val="4"/>
                <c:pt idx="0">
                  <c:v>0</c:v>
                </c:pt>
                <c:pt idx="1">
                  <c:v>0</c:v>
                </c:pt>
                <c:pt idx="2">
                  <c:v>0</c:v>
                </c:pt>
                <c:pt idx="3">
                  <c:v>0</c:v>
                </c:pt>
              </c:numCache>
            </c:numRef>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Monthly Income &amp; Expenditure</a:t>
            </a:r>
          </a:p>
        </c:rich>
      </c:tx>
      <c:layout>
        <c:manualLayout>
          <c:xMode val="factor"/>
          <c:yMode val="factor"/>
          <c:x val="0.0015"/>
          <c:y val="-0.00225"/>
        </c:manualLayout>
      </c:layout>
      <c:spPr>
        <a:noFill/>
        <a:ln>
          <a:noFill/>
        </a:ln>
      </c:spPr>
    </c:title>
    <c:plotArea>
      <c:layout>
        <c:manualLayout>
          <c:xMode val="edge"/>
          <c:yMode val="edge"/>
          <c:x val="0.016"/>
          <c:y val="0.087"/>
          <c:w val="0.88775"/>
          <c:h val="0.896"/>
        </c:manualLayout>
      </c:layout>
      <c:lineChart>
        <c:grouping val="standard"/>
        <c:varyColors val="0"/>
        <c:ser>
          <c:idx val="0"/>
          <c:order val="0"/>
          <c:tx>
            <c:v>Income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I&amp;E'!$D$1:$O$1</c:f>
              <c:strCache>
                <c:ptCount val="1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strCache>
            </c:strRef>
          </c:cat>
          <c:val>
            <c:numRef>
              <c:f>'Monthly I&amp;E'!$D$31:$O$31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5977739"/>
        <c:axId val="9581924"/>
      </c:lineChart>
      <c:dateAx>
        <c:axId val="15977739"/>
        <c:scaling>
          <c:orientation val="minMax"/>
        </c:scaling>
        <c:axPos val="b"/>
        <c:delete val="0"/>
        <c:numFmt formatCode="mmm-yy" sourceLinked="0"/>
        <c:majorTickMark val="out"/>
        <c:minorTickMark val="none"/>
        <c:tickLblPos val="nextTo"/>
        <c:spPr>
          <a:ln w="3175">
            <a:solidFill>
              <a:srgbClr val="000000"/>
            </a:solidFill>
          </a:ln>
        </c:spPr>
        <c:crossAx val="9581924"/>
        <c:crosses val="autoZero"/>
        <c:auto val="0"/>
        <c:baseTimeUnit val="months"/>
        <c:majorUnit val="1"/>
        <c:majorTimeUnit val="months"/>
        <c:minorUnit val="1"/>
        <c:minorTimeUnit val="months"/>
        <c:noMultiLvlLbl val="0"/>
      </c:dateAx>
      <c:valAx>
        <c:axId val="95819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977739"/>
        <c:crossesAt val="1"/>
        <c:crossBetween val="between"/>
        <c:dispUnits/>
      </c:valAx>
      <c:spPr>
        <a:noFill/>
        <a:ln w="12700">
          <a:solidFill>
            <a:srgbClr val="808080"/>
          </a:solidFill>
        </a:ln>
      </c:spPr>
    </c:plotArea>
    <c:legend>
      <c:legendPos val="r"/>
      <c:layout>
        <c:manualLayout>
          <c:xMode val="edge"/>
          <c:yMode val="edge"/>
          <c:x val="0.9145"/>
          <c:y val="0.49875"/>
          <c:w val="0.08075"/>
          <c:h val="0.036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5200650</xdr:colOff>
      <xdr:row>1</xdr:row>
      <xdr:rowOff>76200</xdr:rowOff>
    </xdr:from>
    <xdr:to>
      <xdr:col>0</xdr:col>
      <xdr:colOff>6829425</xdr:colOff>
      <xdr:row>5</xdr:row>
      <xdr:rowOff>409575</xdr:rowOff>
    </xdr:to>
    <xdr:pic>
      <xdr:nvPicPr>
        <xdr:cNvPr id="1" name="Picture 1"/>
        <xdr:cNvPicPr preferRelativeResize="1">
          <a:picLocks noChangeAspect="1"/>
        </xdr:cNvPicPr>
      </xdr:nvPicPr>
      <xdr:blipFill>
        <a:blip r:embed="rId1"/>
        <a:stretch>
          <a:fillRect/>
        </a:stretch>
      </xdr:blipFill>
      <xdr:spPr>
        <a:xfrm>
          <a:off x="5200650" y="238125"/>
          <a:ext cx="16287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104775</xdr:rowOff>
    </xdr:from>
    <xdr:to>
      <xdr:col>9</xdr:col>
      <xdr:colOff>9525</xdr:colOff>
      <xdr:row>36</xdr:row>
      <xdr:rowOff>57150</xdr:rowOff>
    </xdr:to>
    <xdr:graphicFrame>
      <xdr:nvGraphicFramePr>
        <xdr:cNvPr id="1" name="Chart 1"/>
        <xdr:cNvGraphicFramePr/>
      </xdr:nvGraphicFramePr>
      <xdr:xfrm>
        <a:off x="0" y="4648200"/>
        <a:ext cx="5743575" cy="2971800"/>
      </xdr:xfrm>
      <a:graphic>
        <a:graphicData uri="http://schemas.openxmlformats.org/drawingml/2006/chart">
          <c:chart xmlns:c="http://schemas.openxmlformats.org/drawingml/2006/chart" r:id="rId1"/>
        </a:graphicData>
      </a:graphic>
    </xdr:graphicFrame>
    <xdr:clientData/>
  </xdr:twoCellAnchor>
  <xdr:twoCellAnchor editAs="oneCell">
    <xdr:from>
      <xdr:col>17</xdr:col>
      <xdr:colOff>342900</xdr:colOff>
      <xdr:row>0</xdr:row>
      <xdr:rowOff>190500</xdr:rowOff>
    </xdr:from>
    <xdr:to>
      <xdr:col>20</xdr:col>
      <xdr:colOff>542925</xdr:colOff>
      <xdr:row>7</xdr:row>
      <xdr:rowOff>142875</xdr:rowOff>
    </xdr:to>
    <xdr:pic>
      <xdr:nvPicPr>
        <xdr:cNvPr id="2" name="Picture 2"/>
        <xdr:cNvPicPr preferRelativeResize="1">
          <a:picLocks noChangeAspect="1"/>
        </xdr:cNvPicPr>
      </xdr:nvPicPr>
      <xdr:blipFill>
        <a:blip r:embed="rId2"/>
        <a:stretch>
          <a:fillRect/>
        </a:stretch>
      </xdr:blipFill>
      <xdr:spPr>
        <a:xfrm>
          <a:off x="10753725" y="190500"/>
          <a:ext cx="1943100" cy="13620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0.0495</cdr:x>
      <cdr:y>0.08025</cdr:y>
    </cdr:from>
    <cdr:to>
      <cdr:x>0.38</cdr:x>
      <cdr:y>0.234</cdr:y>
    </cdr:to>
    <cdr:sp textlink="'Scenario Analysis'!$A$1">
      <cdr:nvSpPr>
        <cdr:cNvPr id="1" name="Text Box 1"/>
        <cdr:cNvSpPr txBox="1">
          <a:spLocks noChangeArrowheads="1"/>
        </cdr:cNvSpPr>
      </cdr:nvSpPr>
      <cdr:spPr>
        <a:xfrm>
          <a:off x="457200" y="457200"/>
          <a:ext cx="3076575" cy="876300"/>
        </a:xfrm>
        <a:prstGeom prst="rect">
          <a:avLst/>
        </a:prstGeom>
        <a:noFill/>
        <a:ln w="9525" cmpd="sng">
          <a:noFill/>
        </a:ln>
      </cdr:spPr>
      <cdr:txBody>
        <a:bodyPr vertOverflow="clip" wrap="square" lIns="27432" tIns="22860" rIns="0" bIns="0"/>
        <a:p>
          <a:pPr algn="l">
            <a:defRPr/>
          </a:pPr>
          <a:fld id="{714f672d-ac5e-469c-8240-ded2a0bcd978}" type="TxLink">
            <a:rPr lang="en-US" cap="none" sz="1000" b="1" i="0" u="none" baseline="0">
              <a:solidFill>
                <a:srgbClr val="000000"/>
              </a:solidFill>
              <a:latin typeface="Arial"/>
              <a:ea typeface="Arial"/>
              <a:cs typeface="Arial"/>
            </a:rPr>
            <a:t>Example Organisation</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4267200</xdr:colOff>
      <xdr:row>0</xdr:row>
      <xdr:rowOff>0</xdr:rowOff>
    </xdr:from>
    <xdr:ext cx="200025" cy="247650"/>
    <xdr:sp fLocksText="0">
      <xdr:nvSpPr>
        <xdr:cNvPr id="1" name="Text Box 2"/>
        <xdr:cNvSpPr txBox="1">
          <a:spLocks noChangeArrowheads="1"/>
        </xdr:cNvSpPr>
      </xdr:nvSpPr>
      <xdr:spPr>
        <a:xfrm>
          <a:off x="4267200" y="0"/>
          <a:ext cx="2000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7648575</xdr:colOff>
      <xdr:row>0</xdr:row>
      <xdr:rowOff>95250</xdr:rowOff>
    </xdr:from>
    <xdr:to>
      <xdr:col>0</xdr:col>
      <xdr:colOff>9563100</xdr:colOff>
      <xdr:row>5</xdr:row>
      <xdr:rowOff>361950</xdr:rowOff>
    </xdr:to>
    <xdr:pic>
      <xdr:nvPicPr>
        <xdr:cNvPr id="2" name="Picture 2"/>
        <xdr:cNvPicPr preferRelativeResize="1">
          <a:picLocks noChangeAspect="1"/>
        </xdr:cNvPicPr>
      </xdr:nvPicPr>
      <xdr:blipFill>
        <a:blip r:embed="rId1"/>
        <a:stretch>
          <a:fillRect/>
        </a:stretch>
      </xdr:blipFill>
      <xdr:spPr>
        <a:xfrm>
          <a:off x="7648575" y="95250"/>
          <a:ext cx="19145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2:A24"/>
  <sheetViews>
    <sheetView showGridLines="0" zoomScalePageLayoutView="0" workbookViewId="0" topLeftCell="A4">
      <selection activeCell="A9" sqref="A9"/>
    </sheetView>
  </sheetViews>
  <sheetFormatPr defaultColWidth="8.7109375" defaultRowHeight="12.75"/>
  <cols>
    <col min="1" max="1" width="103.140625" style="147" customWidth="1"/>
    <col min="2" max="2" width="70.140625" style="71" customWidth="1"/>
    <col min="3" max="3" width="64.140625" style="71" customWidth="1"/>
    <col min="4" max="16384" width="8.7109375" style="71" customWidth="1"/>
  </cols>
  <sheetData>
    <row r="2" ht="18">
      <c r="A2" s="146" t="s">
        <v>125</v>
      </c>
    </row>
    <row r="3" ht="12.75"/>
    <row r="4" ht="18">
      <c r="A4" s="146" t="s">
        <v>126</v>
      </c>
    </row>
    <row r="5" ht="15">
      <c r="A5" s="104"/>
    </row>
    <row r="6" ht="42" customHeight="1">
      <c r="A6" s="104"/>
    </row>
    <row r="7" ht="51">
      <c r="A7" s="102" t="s">
        <v>132</v>
      </c>
    </row>
    <row r="8" ht="15.75">
      <c r="A8" s="102"/>
    </row>
    <row r="9" ht="118.5">
      <c r="A9" s="102" t="s">
        <v>156</v>
      </c>
    </row>
    <row r="10" ht="15.75">
      <c r="A10" s="102"/>
    </row>
    <row r="11" ht="16.5">
      <c r="A11" s="102" t="s">
        <v>127</v>
      </c>
    </row>
    <row r="12" ht="15.75">
      <c r="A12" s="102"/>
    </row>
    <row r="13" ht="33.75">
      <c r="A13" s="148" t="s">
        <v>130</v>
      </c>
    </row>
    <row r="14" ht="15.75">
      <c r="A14" s="104"/>
    </row>
    <row r="15" ht="16.5">
      <c r="A15" s="104" t="s">
        <v>128</v>
      </c>
    </row>
    <row r="16" ht="15.75">
      <c r="A16" s="104"/>
    </row>
    <row r="17" ht="15.75">
      <c r="A17" s="104"/>
    </row>
    <row r="18" ht="15.75">
      <c r="A18" s="104"/>
    </row>
    <row r="19" ht="15.75">
      <c r="A19" s="104"/>
    </row>
    <row r="20" ht="16.5">
      <c r="A20" s="103" t="s">
        <v>129</v>
      </c>
    </row>
    <row r="21" ht="16.5">
      <c r="A21" s="104" t="s">
        <v>154</v>
      </c>
    </row>
    <row r="22" ht="15.75">
      <c r="A22" s="103"/>
    </row>
    <row r="23" ht="15.75">
      <c r="A23" s="104"/>
    </row>
    <row r="24" ht="16.5">
      <c r="A24" s="104" t="s">
        <v>155</v>
      </c>
    </row>
  </sheetData>
  <sheetProtection/>
  <printOptions/>
  <pageMargins left="0.7" right="0.7" top="0.75" bottom="0.75" header="0.3" footer="0.3"/>
  <pageSetup orientation="portrait" paperSize="3"/>
  <drawing r:id="rId1"/>
</worksheet>
</file>

<file path=xl/worksheets/sheet2.xml><?xml version="1.0" encoding="utf-8"?>
<worksheet xmlns="http://schemas.openxmlformats.org/spreadsheetml/2006/main" xmlns:r="http://schemas.openxmlformats.org/officeDocument/2006/relationships">
  <sheetPr>
    <pageSetUpPr fitToPage="1"/>
  </sheetPr>
  <dimension ref="A1:Q80"/>
  <sheetViews>
    <sheetView showGridLines="0" tabSelected="1" zoomScalePageLayoutView="0" workbookViewId="0" topLeftCell="A1">
      <selection activeCell="A5" sqref="A5"/>
    </sheetView>
  </sheetViews>
  <sheetFormatPr defaultColWidth="8.7109375" defaultRowHeight="12.75"/>
  <cols>
    <col min="1" max="1" width="14.7109375" style="101" customWidth="1"/>
    <col min="2" max="2" width="8.7109375" style="101" customWidth="1"/>
    <col min="3" max="3" width="10.28125" style="101" bestFit="1" customWidth="1"/>
    <col min="4" max="15" width="8.7109375" style="101" customWidth="1"/>
    <col min="16" max="16" width="9.140625" style="101" bestFit="1" customWidth="1"/>
    <col min="17" max="16384" width="8.7109375" style="101" customWidth="1"/>
  </cols>
  <sheetData>
    <row r="1" spans="1:5" ht="15.75">
      <c r="A1" s="105" t="s">
        <v>133</v>
      </c>
      <c r="E1" s="106" t="s">
        <v>111</v>
      </c>
    </row>
    <row r="2" ht="15.75">
      <c r="A2" s="106" t="s">
        <v>75</v>
      </c>
    </row>
    <row r="3" spans="1:16" ht="15.75">
      <c r="A3" s="106"/>
      <c r="P3" s="107"/>
    </row>
    <row r="4" spans="1:17" ht="15">
      <c r="A4" s="101" t="s">
        <v>76</v>
      </c>
      <c r="D4" s="108" t="b">
        <v>0</v>
      </c>
      <c r="E4" s="108"/>
      <c r="F4" s="109">
        <f>IF(D4=FALSE,0,1)</f>
        <v>0</v>
      </c>
      <c r="M4" s="153" t="s">
        <v>123</v>
      </c>
      <c r="N4" s="154"/>
      <c r="O4" s="154"/>
      <c r="P4" s="154"/>
      <c r="Q4" s="110">
        <f>'Cafe Menu'!B8</f>
        <v>0</v>
      </c>
    </row>
    <row r="5" spans="1:4" ht="15">
      <c r="A5" s="150" t="s">
        <v>157</v>
      </c>
      <c r="D5" s="149"/>
    </row>
    <row r="6" spans="1:17" ht="18.75" customHeight="1">
      <c r="A6" s="111" t="s">
        <v>0</v>
      </c>
      <c r="B6" s="111"/>
      <c r="C6" s="112">
        <v>0</v>
      </c>
      <c r="D6" s="111"/>
      <c r="E6" s="111"/>
      <c r="F6" s="111"/>
      <c r="G6" s="113">
        <f>C6/100</f>
        <v>0</v>
      </c>
      <c r="H6" s="111" t="s">
        <v>57</v>
      </c>
      <c r="I6" s="111"/>
      <c r="J6" s="111"/>
      <c r="M6" s="114"/>
      <c r="N6" s="115"/>
      <c r="O6" s="116" t="s">
        <v>12</v>
      </c>
      <c r="P6" s="116" t="s">
        <v>12</v>
      </c>
      <c r="Q6" s="117"/>
    </row>
    <row r="7" spans="1:17" ht="15">
      <c r="A7" s="111"/>
      <c r="B7" s="111"/>
      <c r="C7" s="112"/>
      <c r="D7" s="111"/>
      <c r="E7" s="111"/>
      <c r="F7" s="111"/>
      <c r="G7" s="113"/>
      <c r="H7" s="111"/>
      <c r="I7" s="111"/>
      <c r="J7" s="111"/>
      <c r="M7" s="118"/>
      <c r="N7" s="119"/>
      <c r="O7" s="119"/>
      <c r="P7" s="119"/>
      <c r="Q7" s="120"/>
    </row>
    <row r="8" spans="1:17" ht="19.5" customHeight="1">
      <c r="A8" s="111" t="s">
        <v>96</v>
      </c>
      <c r="B8" s="111"/>
      <c r="C8" s="112">
        <v>0</v>
      </c>
      <c r="D8" s="111"/>
      <c r="E8" s="111"/>
      <c r="F8" s="111"/>
      <c r="G8" s="113">
        <f>C8/100</f>
        <v>0</v>
      </c>
      <c r="H8" s="111" t="s">
        <v>57</v>
      </c>
      <c r="I8" s="111"/>
      <c r="J8" s="111"/>
      <c r="M8" s="118" t="s">
        <v>121</v>
      </c>
      <c r="N8" s="119"/>
      <c r="O8" s="119"/>
      <c r="P8" s="121">
        <f>'Monthly I&amp;E'!Q7</f>
        <v>0</v>
      </c>
      <c r="Q8" s="120"/>
    </row>
    <row r="9" spans="1:17" ht="17.25" customHeight="1">
      <c r="A9" s="111"/>
      <c r="B9" s="111"/>
      <c r="C9" s="112">
        <v>95</v>
      </c>
      <c r="D9" s="111"/>
      <c r="E9" s="111"/>
      <c r="F9" s="111"/>
      <c r="G9" s="113"/>
      <c r="H9" s="111"/>
      <c r="I9" s="111"/>
      <c r="J9" s="111"/>
      <c r="M9" s="118" t="s">
        <v>82</v>
      </c>
      <c r="N9" s="119"/>
      <c r="O9" s="119"/>
      <c r="P9" s="121">
        <f>'Monthly I&amp;E'!Q16</f>
        <v>0</v>
      </c>
      <c r="Q9" s="120"/>
    </row>
    <row r="10" spans="3:17" ht="15.75">
      <c r="C10" s="122"/>
      <c r="G10" s="113"/>
      <c r="M10" s="118" t="s">
        <v>98</v>
      </c>
      <c r="N10" s="119"/>
      <c r="O10" s="119"/>
      <c r="P10" s="123">
        <f>'Monthly I&amp;E'!Q24</f>
        <v>0</v>
      </c>
      <c r="Q10" s="120"/>
    </row>
    <row r="11" spans="1:17" ht="19.5" customHeight="1">
      <c r="A11" s="111" t="s">
        <v>66</v>
      </c>
      <c r="B11" s="111" t="s">
        <v>67</v>
      </c>
      <c r="C11" s="124">
        <v>0</v>
      </c>
      <c r="D11" s="111"/>
      <c r="E11" s="111"/>
      <c r="F11" s="125">
        <f>C11/100</f>
        <v>0</v>
      </c>
      <c r="G11" s="113">
        <f>IF(G6=0,0,F11*'Cafe Menu'!Q38)</f>
        <v>0</v>
      </c>
      <c r="H11" s="151" t="s">
        <v>69</v>
      </c>
      <c r="I11" s="152"/>
      <c r="J11" s="126">
        <f>IF(G6=0,0,'Cafe Menu'!Q38)</f>
        <v>0</v>
      </c>
      <c r="M11" s="118" t="s">
        <v>99</v>
      </c>
      <c r="N11" s="119"/>
      <c r="O11" s="119"/>
      <c r="P11" s="121">
        <f>SUM(P8:P10)</f>
        <v>0</v>
      </c>
      <c r="Q11" s="120"/>
    </row>
    <row r="12" spans="1:17" ht="15.75">
      <c r="A12" s="111"/>
      <c r="B12" s="111"/>
      <c r="C12" s="124"/>
      <c r="D12" s="111"/>
      <c r="E12" s="111"/>
      <c r="F12" s="113"/>
      <c r="G12" s="113"/>
      <c r="H12" s="127"/>
      <c r="I12" s="111"/>
      <c r="J12" s="111"/>
      <c r="M12" s="118"/>
      <c r="N12" s="119"/>
      <c r="O12" s="119"/>
      <c r="P12" s="121"/>
      <c r="Q12" s="120"/>
    </row>
    <row r="13" spans="1:17" ht="18.75" customHeight="1">
      <c r="A13" s="111"/>
      <c r="B13" s="111" t="s">
        <v>93</v>
      </c>
      <c r="C13" s="124">
        <v>0</v>
      </c>
      <c r="D13" s="111"/>
      <c r="E13" s="111"/>
      <c r="F13" s="125">
        <f>C13/100</f>
        <v>0</v>
      </c>
      <c r="G13" s="113">
        <f>IF(G8=0,0,F13*'Events Menu'!S20)</f>
        <v>0</v>
      </c>
      <c r="H13" s="151" t="s">
        <v>69</v>
      </c>
      <c r="I13" s="152"/>
      <c r="J13" s="128">
        <f>IF(G8=0,0,'Events Menu'!S20)</f>
        <v>0</v>
      </c>
      <c r="M13" s="118"/>
      <c r="N13" s="119"/>
      <c r="O13" s="119"/>
      <c r="P13" s="121"/>
      <c r="Q13" s="120"/>
    </row>
    <row r="14" spans="1:17" ht="12" customHeight="1">
      <c r="A14" s="111"/>
      <c r="B14" s="111"/>
      <c r="C14" s="124"/>
      <c r="D14" s="111"/>
      <c r="E14" s="111"/>
      <c r="F14" s="125"/>
      <c r="G14" s="113"/>
      <c r="H14" s="129"/>
      <c r="I14" s="129"/>
      <c r="J14" s="130"/>
      <c r="M14" s="118" t="s">
        <v>41</v>
      </c>
      <c r="N14" s="119"/>
      <c r="O14" s="119"/>
      <c r="P14" s="121">
        <f>IF(P11=0,0,'Monthly I&amp;E'!Q33)</f>
        <v>0</v>
      </c>
      <c r="Q14" s="131">
        <f>IF(P11=0,0,P14/P11)</f>
        <v>0</v>
      </c>
    </row>
    <row r="15" spans="3:17" ht="18.75" customHeight="1">
      <c r="C15" s="132"/>
      <c r="F15" s="125"/>
      <c r="G15" s="113"/>
      <c r="H15" s="133"/>
      <c r="I15" s="133"/>
      <c r="J15" s="134"/>
      <c r="M15" s="118"/>
      <c r="N15" s="119"/>
      <c r="O15" s="119"/>
      <c r="P15" s="123"/>
      <c r="Q15" s="120"/>
    </row>
    <row r="16" spans="1:17" ht="18.75" customHeight="1">
      <c r="A16" s="111" t="s">
        <v>50</v>
      </c>
      <c r="B16" s="111"/>
      <c r="C16" s="112">
        <v>0</v>
      </c>
      <c r="D16" s="111"/>
      <c r="E16" s="111"/>
      <c r="F16" s="125"/>
      <c r="G16" s="113">
        <f>C16/100</f>
        <v>0</v>
      </c>
      <c r="H16" s="135" t="s">
        <v>57</v>
      </c>
      <c r="I16" s="129"/>
      <c r="J16" s="134"/>
      <c r="M16" s="118" t="s">
        <v>32</v>
      </c>
      <c r="N16" s="119"/>
      <c r="O16" s="119"/>
      <c r="P16" s="121">
        <f>P11-P14</f>
        <v>0</v>
      </c>
      <c r="Q16" s="131">
        <f>IF(P11=0,0,P16/P11)</f>
        <v>0</v>
      </c>
    </row>
    <row r="17" spans="1:17" ht="18.75" customHeight="1">
      <c r="A17" s="111"/>
      <c r="B17" s="111"/>
      <c r="C17" s="112"/>
      <c r="D17" s="111"/>
      <c r="E17" s="111"/>
      <c r="F17" s="125"/>
      <c r="G17" s="113"/>
      <c r="H17" s="135"/>
      <c r="I17" s="129"/>
      <c r="J17" s="134"/>
      <c r="M17" s="118"/>
      <c r="N17" s="119"/>
      <c r="O17" s="121"/>
      <c r="P17" s="119"/>
      <c r="Q17" s="120"/>
    </row>
    <row r="18" spans="1:17" ht="18.75" customHeight="1">
      <c r="A18" s="111" t="s">
        <v>71</v>
      </c>
      <c r="B18" s="111"/>
      <c r="C18" s="112">
        <v>27</v>
      </c>
      <c r="D18" s="111"/>
      <c r="E18" s="111"/>
      <c r="F18" s="125"/>
      <c r="G18" s="113">
        <f>C18/100</f>
        <v>0.27</v>
      </c>
      <c r="H18" s="135" t="s">
        <v>57</v>
      </c>
      <c r="I18" s="129"/>
      <c r="J18" s="134"/>
      <c r="M18" s="118" t="s">
        <v>101</v>
      </c>
      <c r="N18" s="119"/>
      <c r="O18" s="121"/>
      <c r="P18" s="121">
        <f>'Monthly I&amp;E'!Q42</f>
        <v>0</v>
      </c>
      <c r="Q18" s="120"/>
    </row>
    <row r="19" spans="1:17" ht="18.75" customHeight="1">
      <c r="A19" s="111"/>
      <c r="B19" s="111"/>
      <c r="C19" s="112"/>
      <c r="D19" s="111"/>
      <c r="E19" s="111"/>
      <c r="F19" s="125"/>
      <c r="G19" s="113"/>
      <c r="H19" s="135"/>
      <c r="I19" s="129"/>
      <c r="J19" s="134"/>
      <c r="M19" s="118"/>
      <c r="N19" s="119"/>
      <c r="O19" s="121"/>
      <c r="P19" s="119"/>
      <c r="Q19" s="120"/>
    </row>
    <row r="20" spans="1:17" ht="18.75" customHeight="1">
      <c r="A20" s="111" t="s">
        <v>59</v>
      </c>
      <c r="B20" s="111"/>
      <c r="C20" s="112">
        <v>0</v>
      </c>
      <c r="D20" s="111"/>
      <c r="E20" s="111"/>
      <c r="F20" s="125"/>
      <c r="G20" s="113">
        <f>C20/100</f>
        <v>0</v>
      </c>
      <c r="H20" s="135" t="s">
        <v>57</v>
      </c>
      <c r="I20" s="129"/>
      <c r="J20" s="134"/>
      <c r="M20" s="118" t="s">
        <v>74</v>
      </c>
      <c r="N20" s="119"/>
      <c r="O20" s="121">
        <f>'Monthly I&amp;E'!Q46</f>
        <v>0</v>
      </c>
      <c r="P20" s="119"/>
      <c r="Q20" s="120"/>
    </row>
    <row r="21" spans="13:17" ht="15.75">
      <c r="M21" s="118" t="s">
        <v>71</v>
      </c>
      <c r="N21" s="119"/>
      <c r="O21" s="121">
        <f>'Monthly I&amp;E'!Q48</f>
        <v>2430</v>
      </c>
      <c r="P21" s="121"/>
      <c r="Q21" s="120"/>
    </row>
    <row r="22" spans="13:17" ht="15.75">
      <c r="M22" s="118" t="s">
        <v>59</v>
      </c>
      <c r="N22" s="119"/>
      <c r="O22" s="121">
        <f>SUM('Monthly I&amp;E'!Q51:Q65)</f>
        <v>1650</v>
      </c>
      <c r="P22" s="121"/>
      <c r="Q22" s="120"/>
    </row>
    <row r="23" spans="13:17" ht="15.75">
      <c r="M23" s="118"/>
      <c r="N23" s="119"/>
      <c r="O23" s="123"/>
      <c r="P23" s="121"/>
      <c r="Q23" s="120"/>
    </row>
    <row r="24" spans="13:17" ht="15.75">
      <c r="M24" s="118"/>
      <c r="N24" s="119"/>
      <c r="O24" s="121"/>
      <c r="P24" s="136">
        <f>SUM(O20:O22)*-1</f>
        <v>-4080</v>
      </c>
      <c r="Q24" s="131" t="e">
        <f>(P24*-1)/(P11+P18)</f>
        <v>#DIV/0!</v>
      </c>
    </row>
    <row r="25" spans="13:17" ht="15.75">
      <c r="M25" s="118"/>
      <c r="N25" s="119"/>
      <c r="O25" s="121"/>
      <c r="P25" s="121"/>
      <c r="Q25" s="120"/>
    </row>
    <row r="26" spans="13:17" ht="16.5" thickBot="1">
      <c r="M26" s="118"/>
      <c r="N26" s="119"/>
      <c r="O26" s="121"/>
      <c r="P26" s="137">
        <f>P16+P18+P24</f>
        <v>-4080</v>
      </c>
      <c r="Q26" s="131">
        <f>IF(P11=0,0,P26/P11)</f>
        <v>0</v>
      </c>
    </row>
    <row r="27" spans="13:17" ht="16.5" thickTop="1">
      <c r="M27" s="138"/>
      <c r="N27" s="139"/>
      <c r="O27" s="123"/>
      <c r="P27" s="123"/>
      <c r="Q27" s="140"/>
    </row>
    <row r="29" spans="13:17" ht="15.75">
      <c r="M29" s="114"/>
      <c r="N29" s="115"/>
      <c r="O29" s="115"/>
      <c r="P29" s="115"/>
      <c r="Q29" s="117"/>
    </row>
    <row r="30" spans="13:17" ht="15.75">
      <c r="M30" s="118" t="s">
        <v>117</v>
      </c>
      <c r="N30" s="119"/>
      <c r="O30" s="119"/>
      <c r="P30" s="141">
        <v>2</v>
      </c>
      <c r="Q30" s="120"/>
    </row>
    <row r="31" spans="13:17" ht="15.75">
      <c r="M31" s="118" t="s">
        <v>118</v>
      </c>
      <c r="N31" s="119"/>
      <c r="O31" s="119"/>
      <c r="P31" s="141">
        <f>P30-P32</f>
        <v>2</v>
      </c>
      <c r="Q31" s="131" t="e">
        <f>P31/P32</f>
        <v>#DIV/0!</v>
      </c>
    </row>
    <row r="32" spans="13:17" ht="16.5" thickBot="1">
      <c r="M32" s="118" t="s">
        <v>73</v>
      </c>
      <c r="N32" s="119"/>
      <c r="O32" s="119"/>
      <c r="P32" s="142">
        <f>'Cafe Menu'!O36</f>
        <v>0</v>
      </c>
      <c r="Q32" s="120"/>
    </row>
    <row r="33" spans="13:17" ht="16.5" thickTop="1">
      <c r="M33" s="118"/>
      <c r="N33" s="119"/>
      <c r="O33" s="119"/>
      <c r="P33" s="119"/>
      <c r="Q33" s="120"/>
    </row>
    <row r="34" spans="13:17" ht="15.75">
      <c r="M34" s="118" t="s">
        <v>119</v>
      </c>
      <c r="N34" s="119"/>
      <c r="O34" s="119"/>
      <c r="P34" s="119"/>
      <c r="Q34" s="120"/>
    </row>
    <row r="35" spans="13:17" ht="15.75">
      <c r="M35" s="118" t="s">
        <v>120</v>
      </c>
      <c r="N35" s="119"/>
      <c r="O35" s="119"/>
      <c r="P35" s="119"/>
      <c r="Q35" s="120"/>
    </row>
    <row r="36" spans="13:17" ht="15.75">
      <c r="M36" s="138"/>
      <c r="N36" s="139"/>
      <c r="O36" s="139"/>
      <c r="P36" s="139"/>
      <c r="Q36" s="140"/>
    </row>
    <row r="39" ht="15.75">
      <c r="A39" s="101" t="s">
        <v>124</v>
      </c>
    </row>
    <row r="60" spans="3:4" ht="15.75">
      <c r="C60" s="143"/>
      <c r="D60" s="143"/>
    </row>
    <row r="61" spans="3:4" ht="15.75">
      <c r="C61" s="143"/>
      <c r="D61" s="143"/>
    </row>
    <row r="62" spans="3:4" ht="15.75">
      <c r="C62" s="143"/>
      <c r="D62" s="143"/>
    </row>
    <row r="63" spans="3:4" ht="15.75">
      <c r="C63" s="143"/>
      <c r="D63" s="143"/>
    </row>
    <row r="64" spans="3:4" ht="15.75">
      <c r="C64" s="143"/>
      <c r="D64" s="143"/>
    </row>
    <row r="65" spans="3:4" ht="15.75">
      <c r="C65" s="143"/>
      <c r="D65" s="143"/>
    </row>
    <row r="66" spans="3:4" ht="15.75">
      <c r="C66" s="143"/>
      <c r="D66" s="143"/>
    </row>
    <row r="67" spans="3:4" ht="15.75">
      <c r="C67" s="143"/>
      <c r="D67" s="143"/>
    </row>
    <row r="68" spans="3:4" ht="15.75">
      <c r="C68" s="143"/>
      <c r="D68" s="143"/>
    </row>
    <row r="69" ht="15.75">
      <c r="C69" s="143"/>
    </row>
    <row r="70" ht="15.75">
      <c r="C70" s="143"/>
    </row>
    <row r="71" ht="15.75">
      <c r="C71" s="143"/>
    </row>
    <row r="72" ht="15.75">
      <c r="C72" s="143"/>
    </row>
    <row r="73" ht="15.75">
      <c r="C73" s="143"/>
    </row>
    <row r="74" ht="15.75">
      <c r="C74" s="143"/>
    </row>
    <row r="75" ht="15.75">
      <c r="C75" s="143"/>
    </row>
    <row r="76" ht="15.75">
      <c r="C76" s="143"/>
    </row>
    <row r="77" ht="15.75">
      <c r="C77" s="143"/>
    </row>
    <row r="78" ht="15.75">
      <c r="C78" s="143"/>
    </row>
    <row r="79" ht="15.75">
      <c r="C79" s="143"/>
    </row>
    <row r="80" ht="15.75">
      <c r="C80" s="143"/>
    </row>
  </sheetData>
  <sheetProtection/>
  <mergeCells count="3">
    <mergeCell ref="H11:I11"/>
    <mergeCell ref="H13:I13"/>
    <mergeCell ref="M4:P4"/>
  </mergeCells>
  <printOptions/>
  <pageMargins left="0.75" right="0.75" top="1" bottom="1" header="0.5" footer="0.5"/>
  <pageSetup fitToHeight="1" fitToWidth="1" horizontalDpi="600" verticalDpi="600" orientation="landscape" paperSize="9" scale="81"/>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D65" sqref="D65"/>
    </sheetView>
  </sheetViews>
  <sheetFormatPr defaultColWidth="11.421875" defaultRowHeight="12.75"/>
  <cols>
    <col min="1" max="4" width="8.8515625" style="0" customWidth="1"/>
    <col min="5" max="5" width="11.28125" style="0" bestFit="1" customWidth="1"/>
    <col min="6" max="6" width="10.421875" style="0" bestFit="1" customWidth="1"/>
    <col min="7" max="7" width="10.140625" style="0" customWidth="1"/>
    <col min="8" max="8" width="10.28125" style="0" bestFit="1" customWidth="1"/>
    <col min="9" max="16384" width="8.8515625" style="0" customWidth="1"/>
  </cols>
  <sheetData>
    <row r="1" ht="12.75">
      <c r="A1" s="1" t="str">
        <f>'Scenario Analysis'!A1</f>
        <v>Example Organisation</v>
      </c>
    </row>
    <row r="2" spans="5:9" ht="55.5">
      <c r="E2" s="4" t="s">
        <v>107</v>
      </c>
      <c r="F2" s="4" t="s">
        <v>21</v>
      </c>
      <c r="G2" s="4" t="s">
        <v>105</v>
      </c>
      <c r="H2" s="4" t="s">
        <v>22</v>
      </c>
      <c r="I2" s="4" t="s">
        <v>23</v>
      </c>
    </row>
    <row r="3" spans="5:9" ht="13.5">
      <c r="E3" s="4" t="s">
        <v>12</v>
      </c>
      <c r="F3" s="4" t="s">
        <v>12</v>
      </c>
      <c r="G3" s="4" t="s">
        <v>12</v>
      </c>
      <c r="H3" s="4" t="s">
        <v>12</v>
      </c>
      <c r="I3" s="4"/>
    </row>
    <row r="4" spans="1:9" ht="12.75">
      <c r="A4" s="1" t="s">
        <v>95</v>
      </c>
      <c r="E4" s="4"/>
      <c r="F4" s="4"/>
      <c r="G4" s="4"/>
      <c r="H4" s="4"/>
      <c r="I4" s="4"/>
    </row>
    <row r="5" spans="5:9" ht="12.75">
      <c r="E5" s="4"/>
      <c r="F5" s="4"/>
      <c r="G5" s="4"/>
      <c r="H5" s="4"/>
      <c r="I5" s="4"/>
    </row>
    <row r="6" spans="1:9" ht="12.75">
      <c r="A6" t="str">
        <f>'Cafe Menu'!A18</f>
        <v>Hot Drinks (e.g. tea/coffee)</v>
      </c>
      <c r="E6" s="13">
        <f>'Cafe Menu'!M18</f>
        <v>0</v>
      </c>
      <c r="F6" s="16">
        <f>'Cafe Menu'!O18</f>
        <v>0</v>
      </c>
      <c r="G6" s="16">
        <f>'Cafe Menu'!P18</f>
        <v>0</v>
      </c>
      <c r="H6" s="16">
        <f>'Cafe Menu'!Q18</f>
        <v>0</v>
      </c>
      <c r="I6" s="23">
        <f aca="true" t="shared" si="0" ref="I6:I11">IF(H6=0,0,H6/F6)</f>
        <v>0</v>
      </c>
    </row>
    <row r="7" spans="1:9" ht="12.75">
      <c r="A7" t="str">
        <f>'Cafe Menu'!A20</f>
        <v>Soft Cold Drinks</v>
      </c>
      <c r="E7" s="13">
        <f>'Cafe Menu'!M20</f>
        <v>0</v>
      </c>
      <c r="F7" s="16">
        <f>'Cafe Menu'!O20</f>
        <v>0</v>
      </c>
      <c r="G7" s="16">
        <f>'Cafe Menu'!P20</f>
        <v>0</v>
      </c>
      <c r="H7" s="16">
        <f>'Cafe Menu'!Q20</f>
        <v>0</v>
      </c>
      <c r="I7" s="23">
        <f t="shared" si="0"/>
        <v>0</v>
      </c>
    </row>
    <row r="8" spans="1:9" ht="12.75">
      <c r="A8" t="str">
        <f>'Cafe Menu'!A25</f>
        <v>Cakes &amp; Pastries</v>
      </c>
      <c r="E8" s="13">
        <f>'Cafe Menu'!M25</f>
        <v>0</v>
      </c>
      <c r="F8" s="16">
        <f>'Cafe Menu'!O25</f>
        <v>0</v>
      </c>
      <c r="G8" s="16">
        <f>'Cafe Menu'!P25</f>
        <v>0</v>
      </c>
      <c r="H8" s="16">
        <f>'Cafe Menu'!Q25</f>
        <v>0</v>
      </c>
      <c r="I8" s="23">
        <f t="shared" si="0"/>
        <v>0</v>
      </c>
    </row>
    <row r="9" spans="1:9" ht="12.75">
      <c r="A9" t="str">
        <f>'Cafe Menu'!A27</f>
        <v>Cold Sandwiches</v>
      </c>
      <c r="E9" s="16">
        <f>'Cafe Menu'!M27</f>
        <v>0</v>
      </c>
      <c r="F9" s="16">
        <f>'Cafe Menu'!O27</f>
        <v>0</v>
      </c>
      <c r="G9" s="16">
        <f>'Cafe Menu'!P27</f>
        <v>0</v>
      </c>
      <c r="H9" s="16">
        <f>'Cafe Menu'!Q27</f>
        <v>0</v>
      </c>
      <c r="I9" s="23">
        <f t="shared" si="0"/>
        <v>0</v>
      </c>
    </row>
    <row r="10" spans="1:9" ht="12.75">
      <c r="A10" t="str">
        <f>'Cafe Menu'!A30</f>
        <v>Café Main Meal (eg jacket potato)</v>
      </c>
      <c r="E10" s="16">
        <f>'Cafe Menu'!M30</f>
        <v>0</v>
      </c>
      <c r="F10" s="16">
        <f>'Cafe Menu'!O30</f>
        <v>0</v>
      </c>
      <c r="G10" s="16">
        <f>'Cafe Menu'!P30</f>
        <v>0</v>
      </c>
      <c r="H10" s="16">
        <f>'Cafe Menu'!Q30</f>
        <v>0</v>
      </c>
      <c r="I10" s="23">
        <f t="shared" si="0"/>
        <v>0</v>
      </c>
    </row>
    <row r="11" spans="1:9" ht="12.75">
      <c r="A11" t="str">
        <f>'Cafe Menu'!A32</f>
        <v>Café salad</v>
      </c>
      <c r="E11" s="16">
        <f>'Cafe Menu'!M32</f>
        <v>0</v>
      </c>
      <c r="F11" s="16">
        <f>'Cafe Menu'!O32</f>
        <v>0</v>
      </c>
      <c r="G11" s="16">
        <f>'Cafe Menu'!P32</f>
        <v>0</v>
      </c>
      <c r="H11" s="16">
        <f>'Cafe Menu'!Q32</f>
        <v>0</v>
      </c>
      <c r="I11" s="23">
        <f t="shared" si="0"/>
        <v>0</v>
      </c>
    </row>
    <row r="12" ht="12.75">
      <c r="I12" s="23"/>
    </row>
    <row r="13" spans="5:9" ht="13.5" thickBot="1">
      <c r="E13" s="14">
        <f>SUM(E6:E12)</f>
        <v>0</v>
      </c>
      <c r="F13" s="14">
        <f>SUM(F6:F12)</f>
        <v>0</v>
      </c>
      <c r="G13" s="14">
        <f>SUM(G6:G12)</f>
        <v>0</v>
      </c>
      <c r="H13" s="14">
        <f>SUM(H6:H12)</f>
        <v>0</v>
      </c>
      <c r="I13" s="23" t="e">
        <f>H13/F13</f>
        <v>#DIV/0!</v>
      </c>
    </row>
    <row r="14" spans="5:9" ht="13.5" thickTop="1">
      <c r="E14" s="78"/>
      <c r="F14" s="78"/>
      <c r="G14" s="78"/>
      <c r="H14" s="78"/>
      <c r="I14" s="23"/>
    </row>
    <row r="15" spans="1:9" ht="12.75">
      <c r="A15" s="1" t="s">
        <v>108</v>
      </c>
      <c r="E15" s="78"/>
      <c r="F15" s="78"/>
      <c r="G15" s="78"/>
      <c r="H15" s="78"/>
      <c r="I15" s="23"/>
    </row>
    <row r="16" ht="12.75">
      <c r="I16" s="23"/>
    </row>
    <row r="17" spans="1:9" ht="12.75">
      <c r="A17" t="s">
        <v>95</v>
      </c>
      <c r="E17" s="16">
        <f>E6+E7+E8+E9+E10+E11</f>
        <v>0</v>
      </c>
      <c r="F17" s="16">
        <f>F6+F7+F8+F9+F10+F11</f>
        <v>0</v>
      </c>
      <c r="G17" s="16">
        <f>G6+G7+G8+G9+G10+G11</f>
        <v>0</v>
      </c>
      <c r="H17" s="16">
        <f>H6+H7+H8+H9+H10+H11</f>
        <v>0</v>
      </c>
      <c r="I17" s="23">
        <f>IF(H17=0,0,H17/F17)</f>
        <v>0</v>
      </c>
    </row>
    <row r="18" spans="1:9" ht="12.75">
      <c r="A18" t="s">
        <v>87</v>
      </c>
      <c r="E18" s="16">
        <f>F18*1.2</f>
        <v>0</v>
      </c>
      <c r="F18" s="16">
        <f>'Monthly I&amp;E'!Q24</f>
        <v>0</v>
      </c>
      <c r="G18" s="16">
        <f>'Monthly I&amp;E'!Q26</f>
        <v>0</v>
      </c>
      <c r="H18" s="16">
        <f>F18-G18</f>
        <v>0</v>
      </c>
      <c r="I18" s="23">
        <f>IF(H18=0,0,H18/F18)</f>
        <v>0</v>
      </c>
    </row>
    <row r="19" spans="1:9" ht="12.75">
      <c r="A19" t="s">
        <v>106</v>
      </c>
      <c r="E19" s="16">
        <f>F19*1.2</f>
        <v>0</v>
      </c>
      <c r="F19" s="16">
        <f>'Monthly I&amp;E'!Q16</f>
        <v>0</v>
      </c>
      <c r="G19" s="16">
        <f>'Monthly I&amp;E'!Q18</f>
        <v>0</v>
      </c>
      <c r="H19" s="16">
        <f>F19-G19</f>
        <v>0</v>
      </c>
      <c r="I19" s="23">
        <f>IF(H19=0,0,H19/F19)</f>
        <v>0</v>
      </c>
    </row>
    <row r="20" spans="1:9" ht="12.75">
      <c r="A20" t="s">
        <v>104</v>
      </c>
      <c r="E20" s="16">
        <f>'Monthly I&amp;E'!Q40</f>
        <v>0</v>
      </c>
      <c r="F20" s="16">
        <f>E20</f>
        <v>0</v>
      </c>
      <c r="G20" s="16">
        <v>0</v>
      </c>
      <c r="H20" s="16">
        <f>F20-G20</f>
        <v>0</v>
      </c>
      <c r="I20" s="23">
        <f>IF(H20=0,0,H20/F20)</f>
        <v>0</v>
      </c>
    </row>
    <row r="21" spans="5:9" ht="12.75">
      <c r="E21" s="16"/>
      <c r="F21" s="16"/>
      <c r="G21" s="16"/>
      <c r="H21" s="16"/>
      <c r="I21" s="23"/>
    </row>
    <row r="22" spans="5:9" ht="13.5" thickBot="1">
      <c r="E22" s="99">
        <f>SUM(E17:E21)</f>
        <v>0</v>
      </c>
      <c r="F22" s="99">
        <f>SUM(F17:F21)</f>
        <v>0</v>
      </c>
      <c r="G22" s="99">
        <f>SUM(G17:G21)</f>
        <v>0</v>
      </c>
      <c r="H22" s="99">
        <f>SUM(H17:H21)</f>
        <v>0</v>
      </c>
      <c r="I22" s="23"/>
    </row>
    <row r="23" spans="5:9" ht="13.5" thickTop="1">
      <c r="E23" s="16"/>
      <c r="F23" s="16"/>
      <c r="G23" s="16"/>
      <c r="H23" s="16"/>
      <c r="I23" s="23"/>
    </row>
    <row r="24" spans="5:8" ht="12.75">
      <c r="E24" s="16"/>
      <c r="F24" s="16"/>
      <c r="G24" s="16"/>
      <c r="H24" s="16"/>
    </row>
    <row r="25" spans="5:8" ht="12.75">
      <c r="E25" s="16"/>
      <c r="F25" s="16"/>
      <c r="G25" s="16"/>
      <c r="H25" s="16"/>
    </row>
  </sheetData>
  <sheetProtection password="C75A" sheet="1" objects="1" scenarios="1"/>
  <printOptions/>
  <pageMargins left="0.75" right="0.75" top="1" bottom="1" header="0.5" footer="0.5"/>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43"/>
  <sheetViews>
    <sheetView zoomScalePageLayoutView="0" workbookViewId="0" topLeftCell="A1">
      <selection activeCell="T7" sqref="T7"/>
    </sheetView>
  </sheetViews>
  <sheetFormatPr defaultColWidth="11.421875" defaultRowHeight="12.75"/>
  <cols>
    <col min="1" max="1" width="39.140625" style="0" customWidth="1"/>
    <col min="2" max="2" width="8.8515625" style="0" customWidth="1"/>
    <col min="3" max="4" width="10.28125" style="0" customWidth="1"/>
    <col min="5" max="5" width="5.140625" style="20" customWidth="1"/>
    <col min="6" max="6" width="4.7109375" style="0" customWidth="1"/>
    <col min="7" max="7" width="11.421875" style="0" bestFit="1" customWidth="1"/>
    <col min="8" max="8" width="4.7109375" style="0" customWidth="1"/>
    <col min="9" max="9" width="9.140625" style="7" customWidth="1"/>
    <col min="10" max="10" width="4.28125" style="0" customWidth="1"/>
    <col min="11" max="11" width="9.140625" style="5" customWidth="1"/>
    <col min="12" max="12" width="4.140625" style="0" customWidth="1"/>
    <col min="13" max="13" width="10.140625" style="0" bestFit="1" customWidth="1"/>
    <col min="14" max="14" width="3.7109375" style="0" customWidth="1"/>
    <col min="15" max="15" width="13.421875" style="0" customWidth="1"/>
    <col min="16" max="16" width="9.28125" style="0" bestFit="1" customWidth="1"/>
    <col min="17" max="17" width="10.28125" style="0" bestFit="1" customWidth="1"/>
    <col min="18" max="16384" width="8.8515625" style="0" customWidth="1"/>
  </cols>
  <sheetData>
    <row r="1" ht="12.75">
      <c r="A1" s="1" t="s">
        <v>1</v>
      </c>
    </row>
    <row r="2" spans="3:17" ht="69.75">
      <c r="C2" s="4" t="s">
        <v>4</v>
      </c>
      <c r="D2" s="4" t="s">
        <v>16</v>
      </c>
      <c r="E2" s="3"/>
      <c r="F2" s="4"/>
      <c r="G2" s="4" t="s">
        <v>10</v>
      </c>
      <c r="H2" s="8" t="s">
        <v>3</v>
      </c>
      <c r="I2" s="2" t="s">
        <v>3</v>
      </c>
      <c r="K2" s="11" t="s">
        <v>80</v>
      </c>
      <c r="M2" s="4" t="s">
        <v>17</v>
      </c>
      <c r="O2" s="4" t="s">
        <v>18</v>
      </c>
      <c r="P2" s="4" t="s">
        <v>30</v>
      </c>
      <c r="Q2" s="4" t="s">
        <v>20</v>
      </c>
    </row>
    <row r="3" spans="2:13" ht="12.75">
      <c r="B3" s="10">
        <f>B4*B6</f>
        <v>0</v>
      </c>
      <c r="C3" s="4"/>
      <c r="D3" s="4"/>
      <c r="E3" s="3"/>
      <c r="F3" s="4"/>
      <c r="G3" s="4"/>
      <c r="H3" s="8"/>
      <c r="I3" s="2"/>
      <c r="K3" s="11"/>
      <c r="M3" s="4"/>
    </row>
    <row r="4" spans="1:13" ht="12.75">
      <c r="A4" s="30" t="s">
        <v>77</v>
      </c>
      <c r="B4" s="84">
        <v>40</v>
      </c>
      <c r="C4" s="4"/>
      <c r="D4" s="4"/>
      <c r="E4" s="3"/>
      <c r="F4" s="4"/>
      <c r="G4" s="4"/>
      <c r="H4" s="8"/>
      <c r="I4" s="2"/>
      <c r="K4" s="11"/>
      <c r="M4" s="4"/>
    </row>
    <row r="5" spans="1:13" ht="12.75">
      <c r="A5" s="31"/>
      <c r="B5" s="100"/>
      <c r="C5" s="4"/>
      <c r="D5" s="4"/>
      <c r="E5" s="3"/>
      <c r="F5" s="4"/>
      <c r="G5" s="4"/>
      <c r="H5" s="8"/>
      <c r="I5" s="2"/>
      <c r="K5" s="11"/>
      <c r="M5" s="4"/>
    </row>
    <row r="6" spans="1:13" ht="12.75">
      <c r="A6" s="31" t="s">
        <v>97</v>
      </c>
      <c r="B6" s="65">
        <f>'Scenario Analysis'!G6</f>
        <v>0</v>
      </c>
      <c r="C6" s="4"/>
      <c r="D6" s="4"/>
      <c r="E6" s="3"/>
      <c r="F6" s="4"/>
      <c r="G6" s="4"/>
      <c r="H6" s="8"/>
      <c r="I6" s="2"/>
      <c r="K6" s="11"/>
      <c r="M6" s="4"/>
    </row>
    <row r="7" spans="1:13" ht="12.75">
      <c r="A7" s="31"/>
      <c r="B7" s="65"/>
      <c r="C7" s="4"/>
      <c r="D7" s="4"/>
      <c r="E7" s="3"/>
      <c r="F7" s="4"/>
      <c r="G7" s="4"/>
      <c r="H7" s="8"/>
      <c r="I7" s="2"/>
      <c r="K7" s="11"/>
      <c r="M7" s="4"/>
    </row>
    <row r="8" spans="1:13" ht="12.75">
      <c r="A8" s="31" t="s">
        <v>78</v>
      </c>
      <c r="B8" s="32">
        <f>ROUND(B3,0)</f>
        <v>0</v>
      </c>
      <c r="C8" s="4"/>
      <c r="D8" s="74"/>
      <c r="E8" s="3"/>
      <c r="F8" s="4"/>
      <c r="G8" s="4"/>
      <c r="H8" s="8"/>
      <c r="I8" s="2"/>
      <c r="K8" s="11"/>
      <c r="M8" s="4"/>
    </row>
    <row r="9" spans="1:13" ht="12.75">
      <c r="A9" s="31"/>
      <c r="B9" s="33"/>
      <c r="C9" s="4"/>
      <c r="D9" s="4"/>
      <c r="E9" s="3"/>
      <c r="F9" s="4"/>
      <c r="G9" s="4"/>
      <c r="H9" s="8"/>
      <c r="I9" s="2"/>
      <c r="K9" s="11"/>
      <c r="M9" s="4"/>
    </row>
    <row r="10" spans="1:8" ht="12.75">
      <c r="A10" s="31" t="s">
        <v>79</v>
      </c>
      <c r="B10" s="91">
        <v>5</v>
      </c>
      <c r="C10" s="4"/>
      <c r="D10" s="4"/>
      <c r="E10" s="3"/>
      <c r="F10" s="4"/>
      <c r="G10" s="4"/>
      <c r="H10" s="8"/>
    </row>
    <row r="11" spans="1:8" ht="12.75">
      <c r="A11" s="31"/>
      <c r="B11" s="34"/>
      <c r="C11" s="4"/>
      <c r="D11" s="4"/>
      <c r="E11" s="3"/>
      <c r="F11" s="4"/>
      <c r="G11" s="4"/>
      <c r="H11" s="8"/>
    </row>
    <row r="12" spans="1:8" ht="12.75">
      <c r="A12" s="31" t="s">
        <v>11</v>
      </c>
      <c r="B12" s="91">
        <v>12</v>
      </c>
      <c r="C12" s="4"/>
      <c r="D12" s="4"/>
      <c r="E12" s="3"/>
      <c r="F12" s="4"/>
      <c r="G12" s="4"/>
      <c r="H12" s="8"/>
    </row>
    <row r="13" spans="1:8" ht="12.75">
      <c r="A13" s="31" t="s">
        <v>15</v>
      </c>
      <c r="B13" s="85">
        <v>0.2</v>
      </c>
      <c r="C13" s="4"/>
      <c r="D13" s="4"/>
      <c r="E13" s="3"/>
      <c r="F13" s="4"/>
      <c r="G13" s="4"/>
      <c r="H13" s="8"/>
    </row>
    <row r="14" spans="1:8" ht="12.75">
      <c r="A14" s="72" t="s">
        <v>15</v>
      </c>
      <c r="B14" s="73">
        <f>B13*'Scenario Analysis'!F4</f>
        <v>0</v>
      </c>
      <c r="C14" s="17">
        <f>1/(1+B14)</f>
        <v>1</v>
      </c>
      <c r="D14" s="17"/>
      <c r="E14" s="3"/>
      <c r="F14" s="4"/>
      <c r="G14" s="4"/>
      <c r="H14" s="8"/>
    </row>
    <row r="15" spans="3:8" ht="12.75">
      <c r="C15" s="4"/>
      <c r="D15" s="4"/>
      <c r="E15" s="3"/>
      <c r="F15" s="4"/>
      <c r="G15" s="4"/>
      <c r="H15" s="8"/>
    </row>
    <row r="16" spans="1:17" ht="12.75">
      <c r="A16" s="1" t="s">
        <v>6</v>
      </c>
      <c r="C16" s="4"/>
      <c r="D16" s="4"/>
      <c r="E16" s="3"/>
      <c r="F16" s="4"/>
      <c r="H16" s="8"/>
      <c r="M16" s="7" t="s">
        <v>12</v>
      </c>
      <c r="N16" s="7"/>
      <c r="O16" s="7" t="s">
        <v>12</v>
      </c>
      <c r="P16" s="7" t="s">
        <v>12</v>
      </c>
      <c r="Q16" s="7" t="s">
        <v>12</v>
      </c>
    </row>
    <row r="17" spans="5:8" ht="12.75">
      <c r="E17" s="3"/>
      <c r="F17" s="4"/>
      <c r="H17" s="9"/>
    </row>
    <row r="18" spans="1:17" ht="12.75">
      <c r="A18" s="86" t="s">
        <v>2</v>
      </c>
      <c r="C18" s="93">
        <v>1.5</v>
      </c>
      <c r="D18" s="93">
        <v>0.2</v>
      </c>
      <c r="E18" s="19">
        <f>D18/C18</f>
        <v>0.13333333333333333</v>
      </c>
      <c r="F18" s="18"/>
      <c r="G18" s="92">
        <v>0.9</v>
      </c>
      <c r="H18" s="10">
        <f>G18*$B$8</f>
        <v>0</v>
      </c>
      <c r="I18" s="7">
        <f>ROUND(H18,0)</f>
        <v>0</v>
      </c>
      <c r="K18" s="5">
        <f>I18*C18</f>
        <v>0</v>
      </c>
      <c r="M18" s="13">
        <f>K18*$B$10*52*$B$12/12</f>
        <v>0</v>
      </c>
      <c r="O18" s="16">
        <f>M18*$C$14</f>
        <v>0</v>
      </c>
      <c r="P18" s="21">
        <f>D18*I18*$B$10*$B$12*52/12</f>
        <v>0</v>
      </c>
      <c r="Q18" s="21">
        <f>O18-P18</f>
        <v>0</v>
      </c>
    </row>
    <row r="19" spans="3:17" ht="12.75">
      <c r="C19" s="12"/>
      <c r="D19" s="12"/>
      <c r="E19" s="19"/>
      <c r="F19" s="4"/>
      <c r="G19" s="6"/>
      <c r="H19" s="10"/>
      <c r="M19" s="13"/>
      <c r="O19" s="16"/>
      <c r="P19" s="21"/>
      <c r="Q19" s="21"/>
    </row>
    <row r="20" spans="1:17" ht="12.75">
      <c r="A20" s="86" t="s">
        <v>5</v>
      </c>
      <c r="C20" s="93">
        <v>1.5</v>
      </c>
      <c r="D20" s="93">
        <v>0.28</v>
      </c>
      <c r="E20" s="19">
        <f>D20/C20</f>
        <v>0.18666666666666668</v>
      </c>
      <c r="F20" s="4"/>
      <c r="G20" s="92">
        <f>8/25</f>
        <v>0.32</v>
      </c>
      <c r="H20" s="10">
        <f aca="true" t="shared" si="0" ref="H20:H27">G20*$B$8</f>
        <v>0</v>
      </c>
      <c r="I20" s="7">
        <f>ROUND(H20,0)</f>
        <v>0</v>
      </c>
      <c r="K20" s="5">
        <f>I20*C20</f>
        <v>0</v>
      </c>
      <c r="M20" s="13">
        <f>K20*$B$10*52*$B$12/12</f>
        <v>0</v>
      </c>
      <c r="O20" s="16">
        <f>M20*$C$14</f>
        <v>0</v>
      </c>
      <c r="P20" s="21">
        <f>D20*I20*$B$10*$B$12*52/12</f>
        <v>0</v>
      </c>
      <c r="Q20" s="21">
        <f>O20-P20</f>
        <v>0</v>
      </c>
    </row>
    <row r="21" spans="3:17" ht="12.75">
      <c r="C21" s="12"/>
      <c r="D21" s="12"/>
      <c r="E21" s="19"/>
      <c r="F21" s="4"/>
      <c r="G21" s="6"/>
      <c r="H21" s="10">
        <f t="shared" si="0"/>
        <v>0</v>
      </c>
      <c r="M21" s="13"/>
      <c r="O21" s="16"/>
      <c r="P21" s="21"/>
      <c r="Q21" s="21"/>
    </row>
    <row r="22" spans="3:17" ht="12.75">
      <c r="C22" s="12"/>
      <c r="D22" s="12"/>
      <c r="E22" s="19"/>
      <c r="F22" s="4"/>
      <c r="G22" s="6"/>
      <c r="H22" s="10">
        <f t="shared" si="0"/>
        <v>0</v>
      </c>
      <c r="M22" s="13"/>
      <c r="O22" s="16"/>
      <c r="P22" s="21"/>
      <c r="Q22" s="21"/>
    </row>
    <row r="23" spans="1:17" ht="12.75">
      <c r="A23" s="1" t="s">
        <v>7</v>
      </c>
      <c r="C23" s="12"/>
      <c r="D23" s="12"/>
      <c r="E23" s="19"/>
      <c r="F23" s="4"/>
      <c r="G23" s="6"/>
      <c r="H23" s="10">
        <f t="shared" si="0"/>
        <v>0</v>
      </c>
      <c r="M23" s="13"/>
      <c r="O23" s="16"/>
      <c r="P23" s="21"/>
      <c r="Q23" s="21"/>
    </row>
    <row r="24" spans="3:17" ht="12.75">
      <c r="C24" s="12"/>
      <c r="D24" s="12"/>
      <c r="E24" s="19"/>
      <c r="F24" s="4"/>
      <c r="G24" s="6"/>
      <c r="H24" s="10">
        <f t="shared" si="0"/>
        <v>0</v>
      </c>
      <c r="M24" s="13"/>
      <c r="O24" s="16"/>
      <c r="P24" s="21"/>
      <c r="Q24" s="21"/>
    </row>
    <row r="25" spans="1:17" ht="12.75">
      <c r="A25" s="86" t="s">
        <v>8</v>
      </c>
      <c r="C25" s="93">
        <v>1.8</v>
      </c>
      <c r="D25" s="93">
        <v>0.55</v>
      </c>
      <c r="E25" s="19">
        <f>D25/C25</f>
        <v>0.3055555555555556</v>
      </c>
      <c r="F25" s="11"/>
      <c r="G25" s="92">
        <f>6/25</f>
        <v>0.24</v>
      </c>
      <c r="H25" s="10">
        <f t="shared" si="0"/>
        <v>0</v>
      </c>
      <c r="I25" s="7">
        <f>ROUND(H25,0)</f>
        <v>0</v>
      </c>
      <c r="K25" s="5">
        <f>I25*C25</f>
        <v>0</v>
      </c>
      <c r="M25" s="13">
        <f>K25*$B$10*52*$B$12/12</f>
        <v>0</v>
      </c>
      <c r="O25" s="16">
        <f>M25*$C$14</f>
        <v>0</v>
      </c>
      <c r="P25" s="21">
        <f>D25*I25*$B$10*$B$12*52/12</f>
        <v>0</v>
      </c>
      <c r="Q25" s="21">
        <f>O25-P25</f>
        <v>0</v>
      </c>
    </row>
    <row r="26" spans="3:17" ht="12.75">
      <c r="C26" s="12"/>
      <c r="D26" s="12"/>
      <c r="E26" s="19"/>
      <c r="F26" s="11"/>
      <c r="G26" s="6"/>
      <c r="H26" s="10">
        <f t="shared" si="0"/>
        <v>0</v>
      </c>
      <c r="M26" s="13"/>
      <c r="O26" s="16"/>
      <c r="P26" s="21"/>
      <c r="Q26" s="21"/>
    </row>
    <row r="27" spans="1:17" ht="12.75">
      <c r="A27" s="86" t="s">
        <v>9</v>
      </c>
      <c r="C27" s="93">
        <f>2*1.2</f>
        <v>2.4</v>
      </c>
      <c r="D27" s="93">
        <v>0.64</v>
      </c>
      <c r="E27" s="19">
        <f>D27/C27</f>
        <v>0.26666666666666666</v>
      </c>
      <c r="F27" s="11"/>
      <c r="G27" s="92">
        <v>0.3</v>
      </c>
      <c r="H27" s="10">
        <f t="shared" si="0"/>
        <v>0</v>
      </c>
      <c r="I27" s="7">
        <f>ROUND(H27,0)</f>
        <v>0</v>
      </c>
      <c r="K27" s="5">
        <f>I27*C27</f>
        <v>0</v>
      </c>
      <c r="M27" s="13">
        <f>K27*$B$10*52*$B$12/12</f>
        <v>0</v>
      </c>
      <c r="O27" s="16">
        <f>I28</f>
        <v>0</v>
      </c>
      <c r="P27" s="21">
        <f>D27*I27*$B$10*$B$12*52/12</f>
        <v>0</v>
      </c>
      <c r="Q27" s="21">
        <f>O27-P27</f>
        <v>0</v>
      </c>
    </row>
    <row r="28" spans="1:17" ht="12.75">
      <c r="A28" s="15" t="s">
        <v>14</v>
      </c>
      <c r="B28" s="92">
        <v>0</v>
      </c>
      <c r="C28" s="24">
        <f>M27</f>
        <v>0</v>
      </c>
      <c r="D28" s="25">
        <f>C28*C14</f>
        <v>0</v>
      </c>
      <c r="E28" s="26">
        <f>D28*(1-B28)</f>
        <v>0</v>
      </c>
      <c r="F28" s="27"/>
      <c r="G28" s="28">
        <f>E28*(B14)</f>
        <v>0</v>
      </c>
      <c r="H28" s="28"/>
      <c r="I28" s="29">
        <f>C28-G28</f>
        <v>0</v>
      </c>
      <c r="M28" s="13"/>
      <c r="O28" s="16"/>
      <c r="P28" s="21"/>
      <c r="Q28" s="21"/>
    </row>
    <row r="29" spans="3:17" ht="12.75">
      <c r="C29" s="12"/>
      <c r="D29" s="12"/>
      <c r="E29" s="19"/>
      <c r="F29" s="11"/>
      <c r="G29" s="6"/>
      <c r="H29" s="10">
        <f>G29*$B$8</f>
        <v>0</v>
      </c>
      <c r="M29" s="13"/>
      <c r="O29" s="16"/>
      <c r="P29" s="21"/>
      <c r="Q29" s="21"/>
    </row>
    <row r="30" spans="1:17" ht="12.75">
      <c r="A30" s="86" t="s">
        <v>115</v>
      </c>
      <c r="C30" s="93">
        <v>3.5</v>
      </c>
      <c r="D30" s="93">
        <v>1.3</v>
      </c>
      <c r="E30" s="19">
        <f>D30/C30</f>
        <v>0.37142857142857144</v>
      </c>
      <c r="F30" s="11"/>
      <c r="G30" s="92">
        <f>3/25</f>
        <v>0.12</v>
      </c>
      <c r="H30" s="10">
        <f>G30*$B$8</f>
        <v>0</v>
      </c>
      <c r="I30" s="7">
        <f>ROUND(H30,0)</f>
        <v>0</v>
      </c>
      <c r="K30" s="5">
        <f>I30*C30</f>
        <v>0</v>
      </c>
      <c r="M30" s="13">
        <f>K30*$B$10*52*$B$12/12</f>
        <v>0</v>
      </c>
      <c r="O30" s="16">
        <f>M30*$C$14</f>
        <v>0</v>
      </c>
      <c r="P30" s="21">
        <f>D30*I30*$B$10*$B$12*52/12</f>
        <v>0</v>
      </c>
      <c r="Q30" s="21">
        <f>O30-P30</f>
        <v>0</v>
      </c>
    </row>
    <row r="31" spans="3:17" ht="12.75">
      <c r="C31" s="12"/>
      <c r="D31" s="12"/>
      <c r="E31" s="19"/>
      <c r="F31" s="11"/>
      <c r="G31" s="6"/>
      <c r="H31" s="10"/>
      <c r="M31" s="13"/>
      <c r="O31" s="16"/>
      <c r="P31" s="21"/>
      <c r="Q31" s="21"/>
    </row>
    <row r="32" spans="1:17" ht="12.75">
      <c r="A32" s="86" t="s">
        <v>116</v>
      </c>
      <c r="C32" s="93">
        <v>2.8</v>
      </c>
      <c r="D32" s="93">
        <v>0.6</v>
      </c>
      <c r="E32" s="19">
        <f>D32/C32</f>
        <v>0.2142857142857143</v>
      </c>
      <c r="F32" s="11"/>
      <c r="G32" s="92">
        <f>3/25</f>
        <v>0.12</v>
      </c>
      <c r="H32" s="10">
        <f>G32*$B$8</f>
        <v>0</v>
      </c>
      <c r="I32" s="7">
        <f>ROUND(H32,0)</f>
        <v>0</v>
      </c>
      <c r="K32" s="5">
        <f>I32*C32*B6</f>
        <v>0</v>
      </c>
      <c r="M32" s="13">
        <f>K32*$B$10*52*$B$12/12</f>
        <v>0</v>
      </c>
      <c r="O32" s="16">
        <f>M32*$C$14</f>
        <v>0</v>
      </c>
      <c r="P32" s="21">
        <f>D32*I32*$B$10*$B$12*52/12*B6</f>
        <v>0</v>
      </c>
      <c r="Q32" s="21">
        <f>O32-P32</f>
        <v>0</v>
      </c>
    </row>
    <row r="33" spans="1:17" ht="12.75">
      <c r="A33" s="75"/>
      <c r="E33"/>
      <c r="H33" s="10"/>
      <c r="M33" s="13"/>
      <c r="O33" s="16"/>
      <c r="P33" s="21"/>
      <c r="Q33" s="21"/>
    </row>
    <row r="34" spans="1:17" ht="12.75">
      <c r="A34" s="75"/>
      <c r="E34"/>
      <c r="H34" s="10"/>
      <c r="K34" s="76">
        <f>SUM(K18:K32)</f>
        <v>0</v>
      </c>
      <c r="M34" s="13"/>
      <c r="O34" s="48">
        <f>SUM(O18:O32)</f>
        <v>0</v>
      </c>
      <c r="P34" s="48">
        <f>SUM(P18:P32)</f>
        <v>0</v>
      </c>
      <c r="Q34" s="48">
        <f>SUM(Q18:Q32)</f>
        <v>0</v>
      </c>
    </row>
    <row r="35" spans="5:6" ht="12.75">
      <c r="E35" s="3"/>
      <c r="F35" s="4"/>
    </row>
    <row r="36" spans="13:17" ht="13.5" thickBot="1">
      <c r="M36" s="14">
        <f>SUM(M18:M34)</f>
        <v>0</v>
      </c>
      <c r="O36" s="14">
        <f>O34</f>
        <v>0</v>
      </c>
      <c r="P36" s="14">
        <f>P34</f>
        <v>0</v>
      </c>
      <c r="Q36" s="14">
        <f>Q34</f>
        <v>0</v>
      </c>
    </row>
    <row r="37" ht="13.5" thickTop="1">
      <c r="C37" t="s">
        <v>27</v>
      </c>
    </row>
    <row r="38" spans="17:18" ht="12.75">
      <c r="Q38" s="22" t="e">
        <f>Q36/O36</f>
        <v>#DIV/0!</v>
      </c>
      <c r="R38" t="s">
        <v>94</v>
      </c>
    </row>
    <row r="39" spans="1:4" ht="12.75">
      <c r="A39" t="s">
        <v>25</v>
      </c>
      <c r="B39" s="86">
        <v>400</v>
      </c>
      <c r="C39" s="36" t="e">
        <f>365/(P36/B39)</f>
        <v>#DIV/0!</v>
      </c>
      <c r="D39" t="s">
        <v>28</v>
      </c>
    </row>
    <row r="40" spans="3:18" ht="12.75">
      <c r="C40" s="36"/>
      <c r="O40" s="30" t="s">
        <v>68</v>
      </c>
      <c r="P40" s="68">
        <f>O34-Q40</f>
        <v>0</v>
      </c>
      <c r="Q40" s="66">
        <f>Q34*'Scenario Analysis'!F11</f>
        <v>0</v>
      </c>
      <c r="R40" t="s">
        <v>95</v>
      </c>
    </row>
    <row r="41" spans="1:17" ht="12.75">
      <c r="A41" t="s">
        <v>26</v>
      </c>
      <c r="B41" s="86">
        <v>350</v>
      </c>
      <c r="C41" s="36" t="e">
        <f>365/(P36/B41)</f>
        <v>#DIV/0!</v>
      </c>
      <c r="D41" t="str">
        <f>D39</f>
        <v>Should not normally be more than 7 days worth of stock</v>
      </c>
      <c r="O41" s="31"/>
      <c r="P41" s="78"/>
      <c r="Q41" s="79"/>
    </row>
    <row r="42" spans="15:18" ht="12.75">
      <c r="O42" s="31" t="s">
        <v>68</v>
      </c>
      <c r="P42" s="67"/>
      <c r="Q42" s="81" t="e">
        <f>Q40/O34</f>
        <v>#DIV/0!</v>
      </c>
      <c r="R42" t="s">
        <v>95</v>
      </c>
    </row>
    <row r="43" spans="15:17" ht="12.75">
      <c r="O43" s="35"/>
      <c r="P43" s="38"/>
      <c r="Q43" s="82"/>
    </row>
  </sheetData>
  <sheetProtection password="C75A" sheet="1" objects="1" scenarios="1"/>
  <dataValidations count="3">
    <dataValidation type="decimal" allowBlank="1" showInputMessage="1" showErrorMessage="1" sqref="B28">
      <formula1>0</formula1>
      <formula2>1</formula2>
    </dataValidation>
    <dataValidation type="decimal" allowBlank="1" showInputMessage="1" showErrorMessage="1" sqref="B12">
      <formula1>0</formula1>
      <formula2>12</formula2>
    </dataValidation>
    <dataValidation type="decimal" allowBlank="1" showInputMessage="1" showErrorMessage="1" sqref="B10">
      <formula1>0</formula1>
      <formula2>7</formula2>
    </dataValidation>
  </dataValidation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30"/>
  <sheetViews>
    <sheetView zoomScalePageLayoutView="0" workbookViewId="0" topLeftCell="A1">
      <selection activeCell="J43" sqref="J43"/>
    </sheetView>
  </sheetViews>
  <sheetFormatPr defaultColWidth="11.421875" defaultRowHeight="12.75"/>
  <cols>
    <col min="1" max="1" width="36.28125" style="0" customWidth="1"/>
    <col min="2" max="2" width="8.8515625" style="0" customWidth="1"/>
    <col min="3" max="4" width="10.28125" style="0" customWidth="1"/>
    <col min="5" max="5" width="7.7109375" style="20" customWidth="1"/>
    <col min="6" max="6" width="15.140625" style="0" customWidth="1"/>
    <col min="7" max="7" width="9.421875" style="0" bestFit="1" customWidth="1"/>
    <col min="8" max="18" width="9.28125" style="0" bestFit="1" customWidth="1"/>
    <col min="19" max="19" width="10.140625" style="0" bestFit="1" customWidth="1"/>
    <col min="20" max="16384" width="8.8515625" style="0" customWidth="1"/>
  </cols>
  <sheetData>
    <row r="1" ht="12.75">
      <c r="A1" s="1" t="s">
        <v>38</v>
      </c>
    </row>
    <row r="2" spans="3:18" ht="12.75">
      <c r="C2" s="4"/>
      <c r="D2" s="4"/>
      <c r="E2" s="3"/>
      <c r="F2" s="4"/>
      <c r="G2" s="40">
        <f>'Monthly I&amp;E'!D1</f>
        <v>40909</v>
      </c>
      <c r="H2" s="40">
        <f>'Monthly I&amp;E'!E1</f>
        <v>40940</v>
      </c>
      <c r="I2" s="40">
        <f>'Monthly I&amp;E'!F1</f>
        <v>40969</v>
      </c>
      <c r="J2" s="40">
        <f>'Monthly I&amp;E'!G1</f>
        <v>41000</v>
      </c>
      <c r="K2" s="40">
        <f>'Monthly I&amp;E'!H1</f>
        <v>41030</v>
      </c>
      <c r="L2" s="40">
        <f>'Monthly I&amp;E'!I1</f>
        <v>41061</v>
      </c>
      <c r="M2" s="40">
        <f>'Monthly I&amp;E'!J1</f>
        <v>41091</v>
      </c>
      <c r="N2" s="40">
        <f>'Monthly I&amp;E'!K1</f>
        <v>41122</v>
      </c>
      <c r="O2" s="40">
        <f>'Monthly I&amp;E'!L1</f>
        <v>41153</v>
      </c>
      <c r="P2" s="40">
        <f>'Monthly I&amp;E'!M1</f>
        <v>41183</v>
      </c>
      <c r="Q2" s="40">
        <f>'Monthly I&amp;E'!N1</f>
        <v>41214</v>
      </c>
      <c r="R2" s="40">
        <f>'Monthly I&amp;E'!O1</f>
        <v>41244</v>
      </c>
    </row>
    <row r="3" spans="2:6" ht="12.75">
      <c r="B3" s="10">
        <f>B4*B5</f>
        <v>0</v>
      </c>
      <c r="C3" s="4"/>
      <c r="D3" s="4"/>
      <c r="E3" s="3"/>
      <c r="F3" s="4"/>
    </row>
    <row r="4" spans="1:18" ht="13.5">
      <c r="A4" s="30" t="s">
        <v>35</v>
      </c>
      <c r="B4" s="84">
        <v>10</v>
      </c>
      <c r="C4" s="4"/>
      <c r="D4" s="45" t="s">
        <v>39</v>
      </c>
      <c r="E4" s="3"/>
      <c r="F4" s="4" t="str">
        <f>A23</f>
        <v>Events (per head)</v>
      </c>
      <c r="G4" s="83">
        <v>5</v>
      </c>
      <c r="H4" s="83">
        <v>4</v>
      </c>
      <c r="I4" s="83">
        <v>5</v>
      </c>
      <c r="J4" s="83">
        <v>4</v>
      </c>
      <c r="K4" s="83">
        <v>5</v>
      </c>
      <c r="L4" s="83">
        <v>5</v>
      </c>
      <c r="M4" s="83">
        <v>3</v>
      </c>
      <c r="N4" s="83">
        <v>1</v>
      </c>
      <c r="O4" s="83">
        <v>5</v>
      </c>
      <c r="P4" s="83">
        <v>4</v>
      </c>
      <c r="Q4" s="83">
        <v>5</v>
      </c>
      <c r="R4" s="83">
        <v>4</v>
      </c>
    </row>
    <row r="5" spans="1:18" ht="27.75">
      <c r="A5" s="31" t="s">
        <v>13</v>
      </c>
      <c r="B5" s="65">
        <f>'Scenario Analysis'!G8</f>
        <v>0</v>
      </c>
      <c r="C5" s="4"/>
      <c r="D5" s="4"/>
      <c r="E5" s="3"/>
      <c r="F5" s="4" t="str">
        <f>A24</f>
        <v>Community Room (per event)</v>
      </c>
      <c r="G5" s="83">
        <v>0</v>
      </c>
      <c r="H5" s="83">
        <v>0</v>
      </c>
      <c r="I5" s="83">
        <v>0</v>
      </c>
      <c r="J5" s="83">
        <v>0</v>
      </c>
      <c r="K5" s="83">
        <v>0</v>
      </c>
      <c r="L5" s="83">
        <v>0</v>
      </c>
      <c r="M5" s="83">
        <v>0</v>
      </c>
      <c r="N5" s="83">
        <v>0</v>
      </c>
      <c r="O5" s="83">
        <v>0</v>
      </c>
      <c r="P5" s="83">
        <v>0</v>
      </c>
      <c r="Q5" s="83">
        <v>0</v>
      </c>
      <c r="R5" s="83">
        <v>0</v>
      </c>
    </row>
    <row r="6" spans="1:18" ht="13.5">
      <c r="A6" s="31" t="s">
        <v>36</v>
      </c>
      <c r="B6" s="32">
        <v>1</v>
      </c>
      <c r="C6" s="4"/>
      <c r="D6" s="4"/>
      <c r="E6" s="3"/>
      <c r="F6" s="4" t="str">
        <f>A25</f>
        <v>Outside Catering</v>
      </c>
      <c r="G6" s="83"/>
      <c r="H6" s="83"/>
      <c r="I6" s="83"/>
      <c r="J6" s="83"/>
      <c r="K6" s="83"/>
      <c r="L6" s="83"/>
      <c r="M6" s="83"/>
      <c r="N6" s="83"/>
      <c r="O6" s="83"/>
      <c r="P6" s="83"/>
      <c r="Q6" s="83"/>
      <c r="R6" s="83"/>
    </row>
    <row r="7" spans="1:6" ht="12.75">
      <c r="A7" s="31"/>
      <c r="B7" s="32"/>
      <c r="C7" s="4"/>
      <c r="D7" s="4"/>
      <c r="E7" s="3"/>
      <c r="F7" s="4"/>
    </row>
    <row r="8" spans="1:6" ht="12.75">
      <c r="A8" s="31" t="s">
        <v>15</v>
      </c>
      <c r="B8" s="85">
        <v>0.2</v>
      </c>
      <c r="C8" s="4"/>
      <c r="D8" s="4"/>
      <c r="E8" s="3"/>
      <c r="F8" s="4"/>
    </row>
    <row r="9" spans="1:19" ht="13.5">
      <c r="A9" s="31"/>
      <c r="B9" s="34"/>
      <c r="C9" s="4"/>
      <c r="D9" s="43" t="s">
        <v>40</v>
      </c>
      <c r="E9" s="3"/>
      <c r="F9" s="4" t="str">
        <f>F4</f>
        <v>Events (per head)</v>
      </c>
      <c r="G9" s="16">
        <f>G4*$B$23*$B$5*$C$23</f>
        <v>0</v>
      </c>
      <c r="H9" s="16">
        <f aca="true" t="shared" si="0" ref="H9:R9">H4*$B$23*$B$5*$C$23</f>
        <v>0</v>
      </c>
      <c r="I9" s="16">
        <f t="shared" si="0"/>
        <v>0</v>
      </c>
      <c r="J9" s="16">
        <f t="shared" si="0"/>
        <v>0</v>
      </c>
      <c r="K9" s="16">
        <f t="shared" si="0"/>
        <v>0</v>
      </c>
      <c r="L9" s="16">
        <f t="shared" si="0"/>
        <v>0</v>
      </c>
      <c r="M9" s="16">
        <f t="shared" si="0"/>
        <v>0</v>
      </c>
      <c r="N9" s="16">
        <f t="shared" si="0"/>
        <v>0</v>
      </c>
      <c r="O9" s="16">
        <f t="shared" si="0"/>
        <v>0</v>
      </c>
      <c r="P9" s="16">
        <f t="shared" si="0"/>
        <v>0</v>
      </c>
      <c r="Q9" s="16">
        <f t="shared" si="0"/>
        <v>0</v>
      </c>
      <c r="R9" s="16">
        <f t="shared" si="0"/>
        <v>0</v>
      </c>
      <c r="S9" s="21">
        <f>SUM(G9:R9)</f>
        <v>0</v>
      </c>
    </row>
    <row r="10" spans="1:19" ht="27.75">
      <c r="A10" s="72" t="s">
        <v>15</v>
      </c>
      <c r="B10" s="73">
        <f>B8*'Scenario Analysis'!H4</f>
        <v>0</v>
      </c>
      <c r="C10" s="17">
        <f>1/(1+B10)</f>
        <v>1</v>
      </c>
      <c r="D10" s="4"/>
      <c r="E10" s="3"/>
      <c r="F10" s="4" t="str">
        <f>F5</f>
        <v>Community Room (per event)</v>
      </c>
      <c r="G10" s="16">
        <f>G5*$B$24*$B$5*$C$24</f>
        <v>0</v>
      </c>
      <c r="H10" s="16">
        <f aca="true" t="shared" si="1" ref="H10:R10">H5*$B$24*$B$5*$C$24</f>
        <v>0</v>
      </c>
      <c r="I10" s="16">
        <f t="shared" si="1"/>
        <v>0</v>
      </c>
      <c r="J10" s="16">
        <f t="shared" si="1"/>
        <v>0</v>
      </c>
      <c r="K10" s="16">
        <f t="shared" si="1"/>
        <v>0</v>
      </c>
      <c r="L10" s="16">
        <f t="shared" si="1"/>
        <v>0</v>
      </c>
      <c r="M10" s="16">
        <f t="shared" si="1"/>
        <v>0</v>
      </c>
      <c r="N10" s="16">
        <f t="shared" si="1"/>
        <v>0</v>
      </c>
      <c r="O10" s="16">
        <f t="shared" si="1"/>
        <v>0</v>
      </c>
      <c r="P10" s="16">
        <f t="shared" si="1"/>
        <v>0</v>
      </c>
      <c r="Q10" s="16">
        <f t="shared" si="1"/>
        <v>0</v>
      </c>
      <c r="R10" s="16">
        <f t="shared" si="1"/>
        <v>0</v>
      </c>
      <c r="S10" s="21">
        <f>SUM(G10:R10)</f>
        <v>0</v>
      </c>
    </row>
    <row r="11" spans="3:19" ht="13.5">
      <c r="C11" s="4"/>
      <c r="D11" s="4"/>
      <c r="E11" s="3"/>
      <c r="F11" s="4" t="str">
        <f>F6</f>
        <v>Outside Catering</v>
      </c>
      <c r="G11" s="16">
        <f>G6*$B$25*$B$5*$C$25</f>
        <v>0</v>
      </c>
      <c r="H11" s="16">
        <f aca="true" t="shared" si="2" ref="H11:R11">H6*$B$25*$B$5*$C$25</f>
        <v>0</v>
      </c>
      <c r="I11" s="16">
        <f t="shared" si="2"/>
        <v>0</v>
      </c>
      <c r="J11" s="16">
        <f t="shared" si="2"/>
        <v>0</v>
      </c>
      <c r="K11" s="16">
        <f t="shared" si="2"/>
        <v>0</v>
      </c>
      <c r="L11" s="16">
        <f t="shared" si="2"/>
        <v>0</v>
      </c>
      <c r="M11" s="16">
        <f t="shared" si="2"/>
        <v>0</v>
      </c>
      <c r="N11" s="16">
        <f t="shared" si="2"/>
        <v>0</v>
      </c>
      <c r="O11" s="16">
        <f t="shared" si="2"/>
        <v>0</v>
      </c>
      <c r="P11" s="16">
        <f t="shared" si="2"/>
        <v>0</v>
      </c>
      <c r="Q11" s="16">
        <f t="shared" si="2"/>
        <v>0</v>
      </c>
      <c r="R11" s="16">
        <f t="shared" si="2"/>
        <v>0</v>
      </c>
      <c r="S11" s="21">
        <f>SUM(G11:R11)</f>
        <v>0</v>
      </c>
    </row>
    <row r="12" spans="3:19" ht="12.75">
      <c r="C12" s="4"/>
      <c r="D12" s="4"/>
      <c r="E12" s="3"/>
      <c r="F12" s="4"/>
      <c r="G12" s="48">
        <f>SUM(G9:G11)</f>
        <v>0</v>
      </c>
      <c r="H12" s="48">
        <f aca="true" t="shared" si="3" ref="H12:S12">SUM(H9:H11)</f>
        <v>0</v>
      </c>
      <c r="I12" s="48">
        <f t="shared" si="3"/>
        <v>0</v>
      </c>
      <c r="J12" s="48">
        <f t="shared" si="3"/>
        <v>0</v>
      </c>
      <c r="K12" s="48">
        <f t="shared" si="3"/>
        <v>0</v>
      </c>
      <c r="L12" s="48">
        <f t="shared" si="3"/>
        <v>0</v>
      </c>
      <c r="M12" s="48">
        <f t="shared" si="3"/>
        <v>0</v>
      </c>
      <c r="N12" s="48">
        <f t="shared" si="3"/>
        <v>0</v>
      </c>
      <c r="O12" s="48">
        <f t="shared" si="3"/>
        <v>0</v>
      </c>
      <c r="P12" s="48">
        <f t="shared" si="3"/>
        <v>0</v>
      </c>
      <c r="Q12" s="48">
        <f t="shared" si="3"/>
        <v>0</v>
      </c>
      <c r="R12" s="48">
        <f t="shared" si="3"/>
        <v>0</v>
      </c>
      <c r="S12" s="48">
        <f t="shared" si="3"/>
        <v>0</v>
      </c>
    </row>
    <row r="13" spans="3:18" ht="12.75">
      <c r="C13" s="4"/>
      <c r="D13" s="4"/>
      <c r="E13" s="3"/>
      <c r="F13" s="4"/>
      <c r="G13" s="46"/>
      <c r="H13" s="46"/>
      <c r="I13" s="46"/>
      <c r="J13" s="46"/>
      <c r="K13" s="46"/>
      <c r="L13" s="46"/>
      <c r="M13" s="46"/>
      <c r="N13" s="46"/>
      <c r="O13" s="46"/>
      <c r="P13" s="46"/>
      <c r="Q13" s="46"/>
      <c r="R13" s="46"/>
    </row>
    <row r="14" spans="3:19" ht="13.5">
      <c r="C14" s="4"/>
      <c r="D14" s="42" t="s">
        <v>41</v>
      </c>
      <c r="E14" s="3"/>
      <c r="F14" s="4" t="str">
        <f>F9</f>
        <v>Events (per head)</v>
      </c>
      <c r="G14" s="57">
        <f>G4*$D$23*$B$5*$C$23</f>
        <v>0</v>
      </c>
      <c r="H14" s="57">
        <f aca="true" t="shared" si="4" ref="H14:R14">H4*$D$23*$B$5*$C$23</f>
        <v>0</v>
      </c>
      <c r="I14" s="57">
        <f t="shared" si="4"/>
        <v>0</v>
      </c>
      <c r="J14" s="57">
        <f t="shared" si="4"/>
        <v>0</v>
      </c>
      <c r="K14" s="57">
        <f t="shared" si="4"/>
        <v>0</v>
      </c>
      <c r="L14" s="57">
        <f t="shared" si="4"/>
        <v>0</v>
      </c>
      <c r="M14" s="57">
        <f t="shared" si="4"/>
        <v>0</v>
      </c>
      <c r="N14" s="57">
        <f t="shared" si="4"/>
        <v>0</v>
      </c>
      <c r="O14" s="57">
        <f t="shared" si="4"/>
        <v>0</v>
      </c>
      <c r="P14" s="57">
        <f t="shared" si="4"/>
        <v>0</v>
      </c>
      <c r="Q14" s="57">
        <f t="shared" si="4"/>
        <v>0</v>
      </c>
      <c r="R14" s="57">
        <f t="shared" si="4"/>
        <v>0</v>
      </c>
      <c r="S14" s="59">
        <f>SUM(G14:R14)</f>
        <v>0</v>
      </c>
    </row>
    <row r="15" spans="3:19" ht="27.75">
      <c r="C15" s="4"/>
      <c r="D15" s="4"/>
      <c r="E15" s="3"/>
      <c r="F15" s="4" t="str">
        <f>F10</f>
        <v>Community Room (per event)</v>
      </c>
      <c r="G15" s="57">
        <f>G5*$D$24*$B$5*$C$24</f>
        <v>0</v>
      </c>
      <c r="H15" s="57">
        <f aca="true" t="shared" si="5" ref="H15:R15">H5*$D$24*$B$5*$C$24</f>
        <v>0</v>
      </c>
      <c r="I15" s="57">
        <f t="shared" si="5"/>
        <v>0</v>
      </c>
      <c r="J15" s="57">
        <f t="shared" si="5"/>
        <v>0</v>
      </c>
      <c r="K15" s="57">
        <f t="shared" si="5"/>
        <v>0</v>
      </c>
      <c r="L15" s="57">
        <f t="shared" si="5"/>
        <v>0</v>
      </c>
      <c r="M15" s="57">
        <f t="shared" si="5"/>
        <v>0</v>
      </c>
      <c r="N15" s="57">
        <f t="shared" si="5"/>
        <v>0</v>
      </c>
      <c r="O15" s="57">
        <f t="shared" si="5"/>
        <v>0</v>
      </c>
      <c r="P15" s="57">
        <f t="shared" si="5"/>
        <v>0</v>
      </c>
      <c r="Q15" s="57">
        <f t="shared" si="5"/>
        <v>0</v>
      </c>
      <c r="R15" s="57">
        <f t="shared" si="5"/>
        <v>0</v>
      </c>
      <c r="S15" s="59">
        <f>SUM(G15:R15)</f>
        <v>0</v>
      </c>
    </row>
    <row r="16" spans="3:19" ht="13.5">
      <c r="C16" s="4"/>
      <c r="D16" s="4"/>
      <c r="E16" s="3"/>
      <c r="F16" s="4" t="str">
        <f>F11</f>
        <v>Outside Catering</v>
      </c>
      <c r="G16" s="57">
        <f>G6*$D$25*$B$5*$C$25</f>
        <v>0</v>
      </c>
      <c r="H16" s="57">
        <f aca="true" t="shared" si="6" ref="H16:R16">H6*$D$25*$B$5*$C$25</f>
        <v>0</v>
      </c>
      <c r="I16" s="57">
        <f t="shared" si="6"/>
        <v>0</v>
      </c>
      <c r="J16" s="57">
        <f t="shared" si="6"/>
        <v>0</v>
      </c>
      <c r="K16" s="57">
        <f t="shared" si="6"/>
        <v>0</v>
      </c>
      <c r="L16" s="57">
        <f t="shared" si="6"/>
        <v>0</v>
      </c>
      <c r="M16" s="57">
        <f t="shared" si="6"/>
        <v>0</v>
      </c>
      <c r="N16" s="57">
        <f t="shared" si="6"/>
        <v>0</v>
      </c>
      <c r="O16" s="57">
        <f t="shared" si="6"/>
        <v>0</v>
      </c>
      <c r="P16" s="57">
        <f t="shared" si="6"/>
        <v>0</v>
      </c>
      <c r="Q16" s="57">
        <f t="shared" si="6"/>
        <v>0</v>
      </c>
      <c r="R16" s="57">
        <f t="shared" si="6"/>
        <v>0</v>
      </c>
      <c r="S16" s="59">
        <f>SUM(G16:R16)</f>
        <v>0</v>
      </c>
    </row>
    <row r="17" spans="3:19" ht="12.75">
      <c r="C17" s="4"/>
      <c r="D17" s="4"/>
      <c r="E17" s="3"/>
      <c r="F17" s="4"/>
      <c r="G17" s="58">
        <f>SUM(G14:G16)</f>
        <v>0</v>
      </c>
      <c r="H17" s="58">
        <f aca="true" t="shared" si="7" ref="H17:S17">SUM(H14:H16)</f>
        <v>0</v>
      </c>
      <c r="I17" s="58">
        <f t="shared" si="7"/>
        <v>0</v>
      </c>
      <c r="J17" s="58">
        <f t="shared" si="7"/>
        <v>0</v>
      </c>
      <c r="K17" s="58">
        <f t="shared" si="7"/>
        <v>0</v>
      </c>
      <c r="L17" s="58">
        <f t="shared" si="7"/>
        <v>0</v>
      </c>
      <c r="M17" s="58">
        <f t="shared" si="7"/>
        <v>0</v>
      </c>
      <c r="N17" s="58">
        <f t="shared" si="7"/>
        <v>0</v>
      </c>
      <c r="O17" s="58">
        <f t="shared" si="7"/>
        <v>0</v>
      </c>
      <c r="P17" s="58">
        <f t="shared" si="7"/>
        <v>0</v>
      </c>
      <c r="Q17" s="58">
        <f t="shared" si="7"/>
        <v>0</v>
      </c>
      <c r="R17" s="58">
        <f t="shared" si="7"/>
        <v>0</v>
      </c>
      <c r="S17" s="58">
        <f t="shared" si="7"/>
        <v>0</v>
      </c>
    </row>
    <row r="18" spans="3:18" ht="12.75">
      <c r="C18" s="4"/>
      <c r="D18" s="4"/>
      <c r="E18" s="3"/>
      <c r="F18" s="4"/>
      <c r="G18" s="46"/>
      <c r="H18" s="46"/>
      <c r="I18" s="46"/>
      <c r="J18" s="46"/>
      <c r="K18" s="46"/>
      <c r="L18" s="46"/>
      <c r="M18" s="46"/>
      <c r="N18" s="46"/>
      <c r="O18" s="46"/>
      <c r="P18" s="46"/>
      <c r="Q18" s="46"/>
      <c r="R18" s="46"/>
    </row>
    <row r="19" spans="3:19" ht="12.75">
      <c r="C19" s="4"/>
      <c r="D19" s="44" t="s">
        <v>42</v>
      </c>
      <c r="E19" s="3"/>
      <c r="F19" s="4"/>
      <c r="G19" s="47">
        <f>G12-G17</f>
        <v>0</v>
      </c>
      <c r="H19" s="47">
        <f aca="true" t="shared" si="8" ref="H19:S19">H12-H17</f>
        <v>0</v>
      </c>
      <c r="I19" s="47">
        <f t="shared" si="8"/>
        <v>0</v>
      </c>
      <c r="J19" s="47">
        <f t="shared" si="8"/>
        <v>0</v>
      </c>
      <c r="K19" s="47">
        <f t="shared" si="8"/>
        <v>0</v>
      </c>
      <c r="L19" s="47">
        <f t="shared" si="8"/>
        <v>0</v>
      </c>
      <c r="M19" s="47">
        <f t="shared" si="8"/>
        <v>0</v>
      </c>
      <c r="N19" s="47">
        <f t="shared" si="8"/>
        <v>0</v>
      </c>
      <c r="O19" s="47">
        <f t="shared" si="8"/>
        <v>0</v>
      </c>
      <c r="P19" s="47">
        <f t="shared" si="8"/>
        <v>0</v>
      </c>
      <c r="Q19" s="47">
        <f t="shared" si="8"/>
        <v>0</v>
      </c>
      <c r="R19" s="47">
        <f t="shared" si="8"/>
        <v>0</v>
      </c>
      <c r="S19" s="60">
        <f t="shared" si="8"/>
        <v>0</v>
      </c>
    </row>
    <row r="20" spans="3:19" ht="12.75">
      <c r="C20" s="4"/>
      <c r="D20" s="4"/>
      <c r="E20" s="3"/>
      <c r="F20" s="4"/>
      <c r="G20" s="49">
        <f>IF(G12=0,0,G19/G12)</f>
        <v>0</v>
      </c>
      <c r="H20" s="49">
        <f aca="true" t="shared" si="9" ref="H20:M20">IF(H12=0,0,H19/H12)</f>
        <v>0</v>
      </c>
      <c r="I20" s="49">
        <f t="shared" si="9"/>
        <v>0</v>
      </c>
      <c r="J20" s="49">
        <f t="shared" si="9"/>
        <v>0</v>
      </c>
      <c r="K20" s="49">
        <f t="shared" si="9"/>
        <v>0</v>
      </c>
      <c r="L20" s="49">
        <f t="shared" si="9"/>
        <v>0</v>
      </c>
      <c r="M20" s="49">
        <f t="shared" si="9"/>
        <v>0</v>
      </c>
      <c r="N20" s="49">
        <f aca="true" t="shared" si="10" ref="N20:S20">IF(N12=0,0,N19/N12)</f>
        <v>0</v>
      </c>
      <c r="O20" s="49">
        <f t="shared" si="10"/>
        <v>0</v>
      </c>
      <c r="P20" s="49">
        <f t="shared" si="10"/>
        <v>0</v>
      </c>
      <c r="Q20" s="49">
        <f t="shared" si="10"/>
        <v>0</v>
      </c>
      <c r="R20" s="49">
        <f t="shared" si="10"/>
        <v>0</v>
      </c>
      <c r="S20" s="49">
        <f t="shared" si="10"/>
        <v>0</v>
      </c>
    </row>
    <row r="21" spans="1:6" ht="42">
      <c r="A21" s="1" t="s">
        <v>37</v>
      </c>
      <c r="B21" s="4" t="s">
        <v>83</v>
      </c>
      <c r="C21" s="4" t="s">
        <v>86</v>
      </c>
      <c r="D21" s="4" t="s">
        <v>16</v>
      </c>
      <c r="E21" s="3"/>
      <c r="F21" s="4"/>
    </row>
    <row r="22" spans="3:19" ht="12.75">
      <c r="C22" s="4"/>
      <c r="D22" s="4"/>
      <c r="E22" s="3"/>
      <c r="F22" s="4"/>
      <c r="G22" s="54">
        <f>$S$22</f>
        <v>0</v>
      </c>
      <c r="H22" s="54">
        <f aca="true" t="shared" si="11" ref="H22:R22">$S$22</f>
        <v>0</v>
      </c>
      <c r="I22" s="54">
        <f t="shared" si="11"/>
        <v>0</v>
      </c>
      <c r="J22" s="54">
        <f t="shared" si="11"/>
        <v>0</v>
      </c>
      <c r="K22" s="54">
        <f t="shared" si="11"/>
        <v>0</v>
      </c>
      <c r="L22" s="54">
        <f t="shared" si="11"/>
        <v>0</v>
      </c>
      <c r="M22" s="54">
        <f t="shared" si="11"/>
        <v>0</v>
      </c>
      <c r="N22" s="54">
        <f t="shared" si="11"/>
        <v>0</v>
      </c>
      <c r="O22" s="54">
        <f t="shared" si="11"/>
        <v>0</v>
      </c>
      <c r="P22" s="54">
        <f t="shared" si="11"/>
        <v>0</v>
      </c>
      <c r="Q22" s="54">
        <f t="shared" si="11"/>
        <v>0</v>
      </c>
      <c r="R22" s="54">
        <f t="shared" si="11"/>
        <v>0</v>
      </c>
      <c r="S22" s="22">
        <f>S20*'Scenario Analysis'!F13</f>
        <v>0</v>
      </c>
    </row>
    <row r="23" spans="1:6" ht="12.75">
      <c r="A23" s="86" t="s">
        <v>84</v>
      </c>
      <c r="B23" s="87">
        <f>7.5/1.05</f>
        <v>7.142857142857142</v>
      </c>
      <c r="C23" s="88">
        <v>10</v>
      </c>
      <c r="D23" s="89">
        <v>2.14</v>
      </c>
      <c r="E23" s="19">
        <f>D23/B23</f>
        <v>0.29960000000000003</v>
      </c>
      <c r="F23" s="4"/>
    </row>
    <row r="24" spans="1:19" ht="12.75">
      <c r="A24" s="86" t="s">
        <v>85</v>
      </c>
      <c r="B24" s="87">
        <v>142.8571</v>
      </c>
      <c r="C24" s="90">
        <v>1</v>
      </c>
      <c r="D24" s="89">
        <v>42.8571</v>
      </c>
      <c r="E24" s="19">
        <f>D24/B24</f>
        <v>0.29999978999993704</v>
      </c>
      <c r="F24" s="4"/>
      <c r="G24" s="21">
        <f>(1-G22)*G12</f>
        <v>0</v>
      </c>
      <c r="H24" s="21">
        <f aca="true" t="shared" si="12" ref="H24:S24">(1-H22)*H12</f>
        <v>0</v>
      </c>
      <c r="I24" s="21">
        <f t="shared" si="12"/>
        <v>0</v>
      </c>
      <c r="J24" s="21">
        <f t="shared" si="12"/>
        <v>0</v>
      </c>
      <c r="K24" s="21">
        <f t="shared" si="12"/>
        <v>0</v>
      </c>
      <c r="L24" s="21">
        <f t="shared" si="12"/>
        <v>0</v>
      </c>
      <c r="M24" s="21">
        <f t="shared" si="12"/>
        <v>0</v>
      </c>
      <c r="N24" s="21">
        <f t="shared" si="12"/>
        <v>0</v>
      </c>
      <c r="O24" s="21">
        <f t="shared" si="12"/>
        <v>0</v>
      </c>
      <c r="P24" s="21">
        <f t="shared" si="12"/>
        <v>0</v>
      </c>
      <c r="Q24" s="21">
        <f t="shared" si="12"/>
        <v>0</v>
      </c>
      <c r="R24" s="21">
        <f t="shared" si="12"/>
        <v>0</v>
      </c>
      <c r="S24" s="21">
        <f t="shared" si="12"/>
        <v>0</v>
      </c>
    </row>
    <row r="25" spans="1:6" ht="12.75">
      <c r="A25" s="86" t="s">
        <v>81</v>
      </c>
      <c r="B25" s="87">
        <v>35.71</v>
      </c>
      <c r="C25" s="90">
        <v>1</v>
      </c>
      <c r="D25" s="89">
        <f>B25*0.3</f>
        <v>10.713</v>
      </c>
      <c r="E25" s="19">
        <f>D25/B25</f>
        <v>0.3</v>
      </c>
      <c r="F25" s="4"/>
    </row>
    <row r="26" spans="3:6" ht="12.75">
      <c r="C26" s="4"/>
      <c r="D26" s="4"/>
      <c r="E26" s="3"/>
      <c r="F26" s="4"/>
    </row>
    <row r="27" spans="3:19" ht="12.75">
      <c r="C27" s="4"/>
      <c r="D27" s="4"/>
      <c r="E27" s="3"/>
      <c r="F27" s="4"/>
      <c r="S27" s="59"/>
    </row>
    <row r="28" spans="3:6" ht="12.75">
      <c r="C28" s="4"/>
      <c r="D28" s="4"/>
      <c r="E28" s="3"/>
      <c r="F28" s="4"/>
    </row>
    <row r="29" spans="3:6" ht="12.75">
      <c r="C29" s="4"/>
      <c r="D29" s="4"/>
      <c r="E29" s="3"/>
      <c r="F29" s="4"/>
    </row>
    <row r="30" ht="12.75">
      <c r="B30" s="77"/>
    </row>
  </sheetData>
  <sheetProtection password="C75A" sheet="1" objects="1" scenarios="1"/>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3">
      <selection activeCell="G26" sqref="G26"/>
    </sheetView>
  </sheetViews>
  <sheetFormatPr defaultColWidth="11.421875" defaultRowHeight="12.75"/>
  <cols>
    <col min="1" max="1" width="30.7109375" style="0" customWidth="1"/>
    <col min="2" max="2" width="8.8515625" style="0" customWidth="1"/>
    <col min="3" max="4" width="10.28125" style="0" bestFit="1" customWidth="1"/>
    <col min="5" max="5" width="7.28125" style="0" customWidth="1"/>
    <col min="6" max="16384" width="8.8515625" style="0" customWidth="1"/>
  </cols>
  <sheetData>
    <row r="1" spans="1:5" ht="12.75">
      <c r="A1" s="155" t="str">
        <f>'Scenario Analysis'!A1</f>
        <v>Example Organisation</v>
      </c>
      <c r="B1" s="155"/>
      <c r="C1" s="155"/>
      <c r="D1" s="155"/>
      <c r="E1" s="155"/>
    </row>
    <row r="2" spans="1:5" ht="12.75">
      <c r="A2" s="155" t="s">
        <v>122</v>
      </c>
      <c r="B2" s="155"/>
      <c r="C2" s="155"/>
      <c r="D2" s="155"/>
      <c r="E2" s="155"/>
    </row>
    <row r="3" spans="3:4" ht="12.75">
      <c r="C3" s="7" t="s">
        <v>12</v>
      </c>
      <c r="D3" s="7" t="s">
        <v>12</v>
      </c>
    </row>
    <row r="5" spans="1:4" ht="12.75">
      <c r="A5" s="1" t="s">
        <v>100</v>
      </c>
      <c r="D5" s="13">
        <f>'Cafe Menu'!O36+'Events Menu'!S12+'Monthly I&amp;E'!Q24</f>
        <v>0</v>
      </c>
    </row>
    <row r="7" ht="12.75">
      <c r="A7" s="37" t="s">
        <v>19</v>
      </c>
    </row>
    <row r="8" spans="1:4" ht="12.75">
      <c r="A8" t="s">
        <v>24</v>
      </c>
      <c r="C8" s="16">
        <f>'Cafe Menu'!B39</f>
        <v>400</v>
      </c>
      <c r="D8" s="16"/>
    </row>
    <row r="9" spans="1:4" ht="12.75">
      <c r="A9" t="s">
        <v>29</v>
      </c>
      <c r="C9" s="16">
        <f>'Cafe Menu'!P40+'Events Menu'!S24+'Cafe Menu'!P41+'Monthly I&amp;E'!Q26</f>
        <v>0</v>
      </c>
      <c r="D9" s="16"/>
    </row>
    <row r="10" spans="1:4" ht="12.75">
      <c r="A10" t="s">
        <v>31</v>
      </c>
      <c r="C10" s="39">
        <f>'Cafe Menu'!B41*-1</f>
        <v>-350</v>
      </c>
      <c r="D10" s="16"/>
    </row>
    <row r="11" spans="3:4" ht="12.75">
      <c r="C11" s="16"/>
      <c r="D11" s="16">
        <f>SUM(C8:C10)</f>
        <v>50</v>
      </c>
    </row>
    <row r="12" ht="12.75">
      <c r="D12" s="38"/>
    </row>
    <row r="13" spans="1:5" ht="12.75">
      <c r="A13" s="1" t="s">
        <v>32</v>
      </c>
      <c r="D13" s="16">
        <f>D5-D11</f>
        <v>-50</v>
      </c>
      <c r="E13" s="23" t="e">
        <f>D13/D5</f>
        <v>#DIV/0!</v>
      </c>
    </row>
    <row r="14" spans="1:5" ht="12.75">
      <c r="A14" s="1"/>
      <c r="D14" s="16"/>
      <c r="E14" s="23"/>
    </row>
    <row r="15" spans="1:5" ht="12.75">
      <c r="A15" s="1" t="s">
        <v>65</v>
      </c>
      <c r="D15" s="16">
        <f>'Monthly I&amp;E'!Q42</f>
        <v>0</v>
      </c>
      <c r="E15" s="23"/>
    </row>
    <row r="17" spans="1:5" ht="12.75">
      <c r="A17" t="str">
        <f>'Monthly I&amp;E'!A46</f>
        <v>Salary costs</v>
      </c>
      <c r="C17" s="16">
        <f>'Monthly I&amp;E'!Q46</f>
        <v>0</v>
      </c>
      <c r="E17" s="23" t="e">
        <f>C17/$D$5</f>
        <v>#DIV/0!</v>
      </c>
    </row>
    <row r="18" spans="1:5" ht="12.75">
      <c r="A18" t="str">
        <f>'Monthly I&amp;E'!A51</f>
        <v>Direct café costs (utilities, marketing)</v>
      </c>
      <c r="C18" s="16">
        <f>'Monthly I&amp;E'!Q51</f>
        <v>0</v>
      </c>
      <c r="D18" s="16"/>
      <c r="E18" s="23" t="e">
        <f aca="true" t="shared" si="0" ref="E18:E29">C18/$D$5</f>
        <v>#DIV/0!</v>
      </c>
    </row>
    <row r="19" spans="1:5" ht="12.75">
      <c r="A19" t="str">
        <f>'Monthly I&amp;E'!A52</f>
        <v>Electricity &amp; gas (non café)</v>
      </c>
      <c r="C19" s="16">
        <f>'Monthly I&amp;E'!Q52</f>
        <v>0</v>
      </c>
      <c r="D19" s="16"/>
      <c r="E19" s="23" t="e">
        <f t="shared" si="0"/>
        <v>#DIV/0!</v>
      </c>
    </row>
    <row r="20" spans="1:5" ht="12.75">
      <c r="A20" t="str">
        <f>'Monthly I&amp;E'!A53</f>
        <v>Equipment leasing</v>
      </c>
      <c r="C20" s="16">
        <f>'Monthly I&amp;E'!Q53</f>
        <v>0</v>
      </c>
      <c r="D20" s="16"/>
      <c r="E20" s="23" t="e">
        <f t="shared" si="0"/>
        <v>#DIV/0!</v>
      </c>
    </row>
    <row r="21" spans="1:5" ht="12.75">
      <c r="A21" t="str">
        <f>'Monthly I&amp;E'!A54</f>
        <v>Cleaning</v>
      </c>
      <c r="C21" s="16">
        <f>'Monthly I&amp;E'!Q54</f>
        <v>0</v>
      </c>
      <c r="D21" s="16"/>
      <c r="E21" s="23" t="e">
        <f t="shared" si="0"/>
        <v>#DIV/0!</v>
      </c>
    </row>
    <row r="22" spans="1:5" ht="12.75">
      <c r="A22" t="str">
        <f>'Monthly I&amp;E'!A55</f>
        <v>Marketing &amp; advertising</v>
      </c>
      <c r="C22" s="16">
        <f>'Monthly I&amp;E'!Q55</f>
        <v>0</v>
      </c>
      <c r="D22" s="16"/>
      <c r="E22" s="23" t="e">
        <f t="shared" si="0"/>
        <v>#DIV/0!</v>
      </c>
    </row>
    <row r="23" spans="1:5" ht="12.75">
      <c r="A23" t="str">
        <f>'Monthly I&amp;E'!A56</f>
        <v>Delivery &amp; travel costs</v>
      </c>
      <c r="C23" s="16">
        <f>'Monthly I&amp;E'!Q56</f>
        <v>0</v>
      </c>
      <c r="D23" s="16"/>
      <c r="E23" s="23" t="e">
        <f t="shared" si="0"/>
        <v>#DIV/0!</v>
      </c>
    </row>
    <row r="24" spans="1:5" ht="12.75">
      <c r="A24" t="str">
        <f>'Monthly I&amp;E'!A57</f>
        <v>Accounting and bookeeping</v>
      </c>
      <c r="C24" s="16">
        <f>'Monthly I&amp;E'!Q57</f>
        <v>0</v>
      </c>
      <c r="D24" s="16"/>
      <c r="E24" s="23" t="e">
        <f t="shared" si="0"/>
        <v>#DIV/0!</v>
      </c>
    </row>
    <row r="25" spans="1:5" ht="12.75">
      <c r="A25" t="str">
        <f>'Monthly I&amp;E'!A58</f>
        <v>Staff training</v>
      </c>
      <c r="C25" s="16">
        <f>'Monthly I&amp;E'!Q58</f>
        <v>0</v>
      </c>
      <c r="D25" s="16"/>
      <c r="E25" s="23" t="e">
        <f t="shared" si="0"/>
        <v>#DIV/0!</v>
      </c>
    </row>
    <row r="26" spans="1:5" ht="12.75">
      <c r="A26" t="str">
        <f>'Monthly I&amp;E'!A59</f>
        <v>Non café untilities</v>
      </c>
      <c r="C26" s="16">
        <f>'Monthly I&amp;E'!Q59</f>
        <v>0</v>
      </c>
      <c r="D26" s="16"/>
      <c r="E26" s="23" t="e">
        <f t="shared" si="0"/>
        <v>#DIV/0!</v>
      </c>
    </row>
    <row r="27" spans="1:5" ht="12.75">
      <c r="A27" t="str">
        <f>'Monthly I&amp;E'!A60</f>
        <v>Insurance</v>
      </c>
      <c r="C27" s="16">
        <f>'Monthly I&amp;E'!Q60</f>
        <v>1650</v>
      </c>
      <c r="D27" s="16"/>
      <c r="E27" s="23" t="e">
        <f t="shared" si="0"/>
        <v>#DIV/0!</v>
      </c>
    </row>
    <row r="28" spans="1:5" ht="12.75">
      <c r="A28" t="str">
        <f>'Monthly I&amp;E'!A61</f>
        <v>Maintenance</v>
      </c>
      <c r="C28" s="62">
        <f>'Monthly I&amp;E'!Q61</f>
        <v>0</v>
      </c>
      <c r="D28" s="16"/>
      <c r="E28" s="23" t="e">
        <f t="shared" si="0"/>
        <v>#DIV/0!</v>
      </c>
    </row>
    <row r="29" spans="1:5" ht="12.75">
      <c r="A29" t="str">
        <f>'Monthly I&amp;E'!A62</f>
        <v>Other costs</v>
      </c>
      <c r="C29" s="62">
        <f>'Monthly I&amp;E'!Q62</f>
        <v>0</v>
      </c>
      <c r="D29" s="16"/>
      <c r="E29" s="23" t="e">
        <f t="shared" si="0"/>
        <v>#DIV/0!</v>
      </c>
    </row>
    <row r="30" spans="1:5" ht="12.75">
      <c r="A30">
        <f>'Monthly I&amp;E'!A63</f>
        <v>0</v>
      </c>
      <c r="C30" s="62"/>
      <c r="D30" s="16"/>
      <c r="E30" s="23"/>
    </row>
    <row r="31" spans="3:5" ht="12.75">
      <c r="C31" s="62"/>
      <c r="D31" s="16"/>
      <c r="E31" s="23"/>
    </row>
    <row r="32" spans="3:5" ht="12.75">
      <c r="C32" s="61"/>
      <c r="D32" s="16"/>
      <c r="E32" s="23"/>
    </row>
    <row r="33" spans="3:5" ht="12.75">
      <c r="C33" s="16"/>
      <c r="D33" s="64">
        <f>SUM(C17:C29)*-1</f>
        <v>-1650</v>
      </c>
      <c r="E33" s="23" t="e">
        <f>D33/D5*-1</f>
        <v>#DIV/0!</v>
      </c>
    </row>
    <row r="34" ht="12.75">
      <c r="E34" s="23"/>
    </row>
    <row r="35" spans="4:5" ht="13.5" thickBot="1">
      <c r="D35" s="63">
        <f>D13+D15+D33</f>
        <v>-1700</v>
      </c>
      <c r="E35" s="23" t="e">
        <f>D35/D5</f>
        <v>#DIV/0!</v>
      </c>
    </row>
    <row r="36" ht="13.5" thickTop="1"/>
  </sheetData>
  <sheetProtection password="C75A" sheet="1" objects="1" scenarios="1"/>
  <mergeCells count="2">
    <mergeCell ref="A1:E1"/>
    <mergeCell ref="A2:E2"/>
  </mergeCells>
  <printOptions/>
  <pageMargins left="0.75" right="0.75" top="1" bottom="1" header="0.5" footer="0.5"/>
  <pageSetup fitToHeight="1"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71"/>
  <sheetViews>
    <sheetView zoomScalePageLayoutView="0" workbookViewId="0" topLeftCell="A1">
      <selection activeCell="B9" sqref="B9"/>
    </sheetView>
  </sheetViews>
  <sheetFormatPr defaultColWidth="11.421875" defaultRowHeight="12.75"/>
  <cols>
    <col min="1" max="1" width="29.7109375" style="0" customWidth="1"/>
    <col min="2" max="2" width="8.8515625" style="0" customWidth="1"/>
    <col min="3" max="3" width="10.28125" style="0" bestFit="1" customWidth="1"/>
    <col min="4" max="4" width="9.28125" style="0" bestFit="1" customWidth="1"/>
    <col min="5" max="15" width="8.8515625" style="0" customWidth="1"/>
    <col min="16" max="16" width="3.7109375" style="0" customWidth="1"/>
    <col min="17" max="16384" width="8.8515625" style="0" customWidth="1"/>
  </cols>
  <sheetData>
    <row r="1" spans="4:17" ht="12.75">
      <c r="D1" s="94">
        <v>40909</v>
      </c>
      <c r="E1" s="94">
        <v>40940</v>
      </c>
      <c r="F1" s="94">
        <v>40969</v>
      </c>
      <c r="G1" s="94">
        <v>41000</v>
      </c>
      <c r="H1" s="94">
        <v>41030</v>
      </c>
      <c r="I1" s="94">
        <v>41061</v>
      </c>
      <c r="J1" s="94">
        <v>41091</v>
      </c>
      <c r="K1" s="94">
        <v>41122</v>
      </c>
      <c r="L1" s="94">
        <v>41153</v>
      </c>
      <c r="M1" s="94">
        <v>41183</v>
      </c>
      <c r="N1" s="94">
        <v>41214</v>
      </c>
      <c r="O1" s="94">
        <v>41244</v>
      </c>
      <c r="Q1" s="7" t="s">
        <v>45</v>
      </c>
    </row>
    <row r="4" ht="12.75">
      <c r="A4" s="1" t="s">
        <v>46</v>
      </c>
    </row>
    <row r="5" spans="1:15" ht="12.75">
      <c r="A5" t="s">
        <v>33</v>
      </c>
      <c r="C5" s="6">
        <f>SUM(D5:O5)</f>
        <v>0.9999999999999999</v>
      </c>
      <c r="D5" s="95">
        <v>0.08</v>
      </c>
      <c r="E5" s="95">
        <v>0.1</v>
      </c>
      <c r="F5" s="95">
        <v>0.1</v>
      </c>
      <c r="G5" s="95">
        <v>0.07</v>
      </c>
      <c r="H5" s="95">
        <v>0.05</v>
      </c>
      <c r="I5" s="95">
        <v>0.09</v>
      </c>
      <c r="J5" s="95">
        <v>0.09</v>
      </c>
      <c r="K5" s="95">
        <v>0.09</v>
      </c>
      <c r="L5" s="95">
        <v>0.06</v>
      </c>
      <c r="M5" s="95">
        <v>0.08</v>
      </c>
      <c r="N5" s="95">
        <v>0.09</v>
      </c>
      <c r="O5" s="95">
        <v>0.1</v>
      </c>
    </row>
    <row r="7" spans="1:17" ht="12.75">
      <c r="A7" t="s">
        <v>34</v>
      </c>
      <c r="C7" s="51">
        <f>'Cafe Menu'!O34</f>
        <v>0</v>
      </c>
      <c r="D7" s="16">
        <f>$C$7*D5</f>
        <v>0</v>
      </c>
      <c r="E7" s="16">
        <f aca="true" t="shared" si="0" ref="E7:O7">$C$7*E5</f>
        <v>0</v>
      </c>
      <c r="F7" s="16">
        <f t="shared" si="0"/>
        <v>0</v>
      </c>
      <c r="G7" s="16">
        <f t="shared" si="0"/>
        <v>0</v>
      </c>
      <c r="H7" s="16">
        <f t="shared" si="0"/>
        <v>0</v>
      </c>
      <c r="I7" s="16">
        <f t="shared" si="0"/>
        <v>0</v>
      </c>
      <c r="J7" s="16">
        <f t="shared" si="0"/>
        <v>0</v>
      </c>
      <c r="K7" s="16">
        <f t="shared" si="0"/>
        <v>0</v>
      </c>
      <c r="L7" s="16">
        <f t="shared" si="0"/>
        <v>0</v>
      </c>
      <c r="M7" s="16">
        <f t="shared" si="0"/>
        <v>0</v>
      </c>
      <c r="N7" s="16">
        <f t="shared" si="0"/>
        <v>0</v>
      </c>
      <c r="O7" s="16">
        <f t="shared" si="0"/>
        <v>0</v>
      </c>
      <c r="Q7" s="13">
        <f>SUM(D7:P7)</f>
        <v>0</v>
      </c>
    </row>
    <row r="8" ht="12.75">
      <c r="Q8" s="13"/>
    </row>
    <row r="9" spans="1:17" ht="12.75">
      <c r="A9" t="s">
        <v>56</v>
      </c>
      <c r="B9" s="22" t="e">
        <f>C9/C7</f>
        <v>#DIV/0!</v>
      </c>
      <c r="C9" s="52">
        <f>'Cafe Menu'!P40+'Cafe Menu'!B39-'Cafe Menu'!B41</f>
        <v>50</v>
      </c>
      <c r="D9" s="16">
        <f>$C$9*D5</f>
        <v>4</v>
      </c>
      <c r="E9" s="16">
        <f aca="true" t="shared" si="1" ref="E9:O9">$C$9*E5</f>
        <v>5</v>
      </c>
      <c r="F9" s="16">
        <f t="shared" si="1"/>
        <v>5</v>
      </c>
      <c r="G9" s="16">
        <f t="shared" si="1"/>
        <v>3.5000000000000004</v>
      </c>
      <c r="H9" s="16">
        <f t="shared" si="1"/>
        <v>2.5</v>
      </c>
      <c r="I9" s="16">
        <f t="shared" si="1"/>
        <v>4.5</v>
      </c>
      <c r="J9" s="16">
        <f t="shared" si="1"/>
        <v>4.5</v>
      </c>
      <c r="K9" s="16">
        <f t="shared" si="1"/>
        <v>4.5</v>
      </c>
      <c r="L9" s="16">
        <f t="shared" si="1"/>
        <v>3</v>
      </c>
      <c r="M9" s="16">
        <f t="shared" si="1"/>
        <v>4</v>
      </c>
      <c r="N9" s="16">
        <f t="shared" si="1"/>
        <v>4.5</v>
      </c>
      <c r="O9" s="16">
        <f t="shared" si="1"/>
        <v>5</v>
      </c>
      <c r="Q9" s="13">
        <f>SUM(D9:P9)</f>
        <v>50</v>
      </c>
    </row>
    <row r="11" spans="1:17" ht="12.75">
      <c r="A11" t="s">
        <v>32</v>
      </c>
      <c r="D11" s="41">
        <f>D7-D9</f>
        <v>-4</v>
      </c>
      <c r="E11" s="41">
        <f aca="true" t="shared" si="2" ref="E11:Q11">E7-E9</f>
        <v>-5</v>
      </c>
      <c r="F11" s="41">
        <f t="shared" si="2"/>
        <v>-5</v>
      </c>
      <c r="G11" s="41">
        <f t="shared" si="2"/>
        <v>-3.5000000000000004</v>
      </c>
      <c r="H11" s="41">
        <f t="shared" si="2"/>
        <v>-2.5</v>
      </c>
      <c r="I11" s="41">
        <f t="shared" si="2"/>
        <v>-4.5</v>
      </c>
      <c r="J11" s="41">
        <f t="shared" si="2"/>
        <v>-4.5</v>
      </c>
      <c r="K11" s="41">
        <f t="shared" si="2"/>
        <v>-4.5</v>
      </c>
      <c r="L11" s="41">
        <f t="shared" si="2"/>
        <v>-3</v>
      </c>
      <c r="M11" s="41">
        <f t="shared" si="2"/>
        <v>-4</v>
      </c>
      <c r="N11" s="41">
        <f t="shared" si="2"/>
        <v>-4.5</v>
      </c>
      <c r="O11" s="41">
        <f t="shared" si="2"/>
        <v>-5</v>
      </c>
      <c r="Q11" s="41">
        <f t="shared" si="2"/>
        <v>-50</v>
      </c>
    </row>
    <row r="12" spans="4:17" ht="12.75">
      <c r="D12" s="80"/>
      <c r="E12" s="80"/>
      <c r="F12" s="80"/>
      <c r="G12" s="80"/>
      <c r="H12" s="80"/>
      <c r="I12" s="80"/>
      <c r="J12" s="80"/>
      <c r="K12" s="80"/>
      <c r="L12" s="80"/>
      <c r="M12" s="80"/>
      <c r="N12" s="80"/>
      <c r="O12" s="80"/>
      <c r="Q12" s="80"/>
    </row>
    <row r="13" spans="4:17" ht="12.75">
      <c r="D13" s="80"/>
      <c r="E13" s="80"/>
      <c r="F13" s="80"/>
      <c r="G13" s="80"/>
      <c r="H13" s="80"/>
      <c r="I13" s="80"/>
      <c r="J13" s="80"/>
      <c r="K13" s="80"/>
      <c r="L13" s="80"/>
      <c r="M13" s="80"/>
      <c r="N13" s="80"/>
      <c r="O13" s="80"/>
      <c r="Q13" s="80"/>
    </row>
    <row r="14" ht="12.75">
      <c r="A14" s="1" t="s">
        <v>109</v>
      </c>
    </row>
    <row r="16" spans="1:17" ht="12.75">
      <c r="A16" t="s">
        <v>102</v>
      </c>
      <c r="D16" s="16">
        <f>'Events Menu'!G12</f>
        <v>0</v>
      </c>
      <c r="E16" s="16">
        <f>'Events Menu'!H12</f>
        <v>0</v>
      </c>
      <c r="F16" s="16">
        <f>'Events Menu'!I12</f>
        <v>0</v>
      </c>
      <c r="G16" s="16">
        <f>'Events Menu'!J12</f>
        <v>0</v>
      </c>
      <c r="H16" s="16">
        <f>'Events Menu'!K12</f>
        <v>0</v>
      </c>
      <c r="I16" s="16">
        <f>'Events Menu'!L12</f>
        <v>0</v>
      </c>
      <c r="J16" s="16">
        <f>'Events Menu'!M12</f>
        <v>0</v>
      </c>
      <c r="K16" s="16">
        <f>'Events Menu'!N12</f>
        <v>0</v>
      </c>
      <c r="L16" s="16">
        <f>'Events Menu'!O12</f>
        <v>0</v>
      </c>
      <c r="M16" s="16">
        <f>'Events Menu'!P12</f>
        <v>0</v>
      </c>
      <c r="N16" s="16">
        <f>'Events Menu'!Q12</f>
        <v>0</v>
      </c>
      <c r="O16" s="16">
        <f>'Events Menu'!R12</f>
        <v>0</v>
      </c>
      <c r="Q16" s="21">
        <f>SUM(D16:O16)</f>
        <v>0</v>
      </c>
    </row>
    <row r="17" ht="12.75">
      <c r="Q17" s="21"/>
    </row>
    <row r="18" spans="1:17" ht="12.75">
      <c r="A18" t="s">
        <v>56</v>
      </c>
      <c r="D18" s="16">
        <f>'Events Menu'!G24</f>
        <v>0</v>
      </c>
      <c r="E18" s="16">
        <f>'Events Menu'!H24</f>
        <v>0</v>
      </c>
      <c r="F18" s="16">
        <f>'Events Menu'!I24</f>
        <v>0</v>
      </c>
      <c r="G18" s="16">
        <f>'Events Menu'!J24</f>
        <v>0</v>
      </c>
      <c r="H18" s="16">
        <f>'Events Menu'!K24</f>
        <v>0</v>
      </c>
      <c r="I18" s="16">
        <f>'Events Menu'!L24</f>
        <v>0</v>
      </c>
      <c r="J18" s="16">
        <f>'Events Menu'!M24</f>
        <v>0</v>
      </c>
      <c r="K18" s="16">
        <f>'Events Menu'!N24</f>
        <v>0</v>
      </c>
      <c r="L18" s="16">
        <f>'Events Menu'!O24</f>
        <v>0</v>
      </c>
      <c r="M18" s="16">
        <f>'Events Menu'!P24</f>
        <v>0</v>
      </c>
      <c r="N18" s="16">
        <f>'Events Menu'!Q24</f>
        <v>0</v>
      </c>
      <c r="O18" s="16">
        <f>'Events Menu'!R24</f>
        <v>0</v>
      </c>
      <c r="Q18" s="21">
        <f>SUM(D18:O18)</f>
        <v>0</v>
      </c>
    </row>
    <row r="19" ht="12.75">
      <c r="Q19" s="21"/>
    </row>
    <row r="20" spans="1:17" ht="12.75">
      <c r="A20" t="s">
        <v>32</v>
      </c>
      <c r="D20" s="41">
        <f>D16-D18</f>
        <v>0</v>
      </c>
      <c r="E20" s="41">
        <f aca="true" t="shared" si="3" ref="E20:Q20">E16-E18</f>
        <v>0</v>
      </c>
      <c r="F20" s="41">
        <f t="shared" si="3"/>
        <v>0</v>
      </c>
      <c r="G20" s="41">
        <f t="shared" si="3"/>
        <v>0</v>
      </c>
      <c r="H20" s="41">
        <f t="shared" si="3"/>
        <v>0</v>
      </c>
      <c r="I20" s="41">
        <f t="shared" si="3"/>
        <v>0</v>
      </c>
      <c r="J20" s="41">
        <f t="shared" si="3"/>
        <v>0</v>
      </c>
      <c r="K20" s="41">
        <f t="shared" si="3"/>
        <v>0</v>
      </c>
      <c r="L20" s="41">
        <f t="shared" si="3"/>
        <v>0</v>
      </c>
      <c r="M20" s="41">
        <f t="shared" si="3"/>
        <v>0</v>
      </c>
      <c r="N20" s="41">
        <f t="shared" si="3"/>
        <v>0</v>
      </c>
      <c r="O20" s="41">
        <f t="shared" si="3"/>
        <v>0</v>
      </c>
      <c r="Q20" s="41">
        <f t="shared" si="3"/>
        <v>0</v>
      </c>
    </row>
    <row r="21" ht="12.75">
      <c r="Q21" s="21"/>
    </row>
    <row r="22" ht="12.75">
      <c r="A22" s="1" t="s">
        <v>110</v>
      </c>
    </row>
    <row r="24" spans="1:17" ht="12.75">
      <c r="A24" t="s">
        <v>102</v>
      </c>
      <c r="D24" s="96"/>
      <c r="E24" s="96"/>
      <c r="F24" s="96"/>
      <c r="G24" s="96"/>
      <c r="H24" s="96"/>
      <c r="I24" s="96"/>
      <c r="J24" s="96"/>
      <c r="K24" s="96"/>
      <c r="L24" s="96"/>
      <c r="M24" s="96"/>
      <c r="N24" s="96"/>
      <c r="O24" s="96"/>
      <c r="Q24" s="21">
        <f>SUM(D24:O24)</f>
        <v>0</v>
      </c>
    </row>
    <row r="25" spans="4:17" ht="12.75">
      <c r="D25" s="86"/>
      <c r="E25" s="86"/>
      <c r="F25" s="86"/>
      <c r="G25" s="86"/>
      <c r="H25" s="86"/>
      <c r="I25" s="86"/>
      <c r="J25" s="86"/>
      <c r="K25" s="86"/>
      <c r="L25" s="86"/>
      <c r="M25" s="86"/>
      <c r="N25" s="86"/>
      <c r="O25" s="86"/>
      <c r="Q25" s="21"/>
    </row>
    <row r="26" spans="1:17" ht="12.75">
      <c r="A26" t="s">
        <v>56</v>
      </c>
      <c r="D26" s="96"/>
      <c r="E26" s="96"/>
      <c r="F26" s="96"/>
      <c r="G26" s="96"/>
      <c r="H26" s="96"/>
      <c r="I26" s="96"/>
      <c r="J26" s="96"/>
      <c r="K26" s="96"/>
      <c r="L26" s="96"/>
      <c r="M26" s="96"/>
      <c r="N26" s="96"/>
      <c r="O26" s="96"/>
      <c r="Q26" s="21">
        <f>SUM(D26:O26)</f>
        <v>0</v>
      </c>
    </row>
    <row r="27" ht="12.75">
      <c r="Q27" s="21"/>
    </row>
    <row r="28" spans="1:17" ht="12.75">
      <c r="A28" t="s">
        <v>32</v>
      </c>
      <c r="D28" s="41">
        <f>D24-D26</f>
        <v>0</v>
      </c>
      <c r="E28" s="41">
        <f aca="true" t="shared" si="4" ref="E28:O28">E24-E26</f>
        <v>0</v>
      </c>
      <c r="F28" s="41">
        <f t="shared" si="4"/>
        <v>0</v>
      </c>
      <c r="G28" s="41">
        <f t="shared" si="4"/>
        <v>0</v>
      </c>
      <c r="H28" s="41">
        <f t="shared" si="4"/>
        <v>0</v>
      </c>
      <c r="I28" s="41">
        <f t="shared" si="4"/>
        <v>0</v>
      </c>
      <c r="J28" s="41">
        <f t="shared" si="4"/>
        <v>0</v>
      </c>
      <c r="K28" s="41">
        <f t="shared" si="4"/>
        <v>0</v>
      </c>
      <c r="L28" s="41">
        <f t="shared" si="4"/>
        <v>0</v>
      </c>
      <c r="M28" s="41">
        <f t="shared" si="4"/>
        <v>0</v>
      </c>
      <c r="N28" s="41">
        <f t="shared" si="4"/>
        <v>0</v>
      </c>
      <c r="O28" s="41">
        <f t="shared" si="4"/>
        <v>0</v>
      </c>
      <c r="Q28" s="41">
        <f>Q24-Q26</f>
        <v>0</v>
      </c>
    </row>
    <row r="29" ht="12.75">
      <c r="Q29" s="21"/>
    </row>
    <row r="30" ht="12.75">
      <c r="Q30" s="21"/>
    </row>
    <row r="31" spans="1:17" s="1" customFormat="1" ht="12.75">
      <c r="A31" s="1" t="s">
        <v>103</v>
      </c>
      <c r="D31" s="50">
        <f>D16+D7+D24</f>
        <v>0</v>
      </c>
      <c r="E31" s="50">
        <f aca="true" t="shared" si="5" ref="E31:O31">E16+E7+E24</f>
        <v>0</v>
      </c>
      <c r="F31" s="50">
        <f t="shared" si="5"/>
        <v>0</v>
      </c>
      <c r="G31" s="50">
        <f t="shared" si="5"/>
        <v>0</v>
      </c>
      <c r="H31" s="50">
        <f t="shared" si="5"/>
        <v>0</v>
      </c>
      <c r="I31" s="50">
        <f t="shared" si="5"/>
        <v>0</v>
      </c>
      <c r="J31" s="50">
        <f t="shared" si="5"/>
        <v>0</v>
      </c>
      <c r="K31" s="50">
        <f t="shared" si="5"/>
        <v>0</v>
      </c>
      <c r="L31" s="50">
        <f>L16+L7+L24</f>
        <v>0</v>
      </c>
      <c r="M31" s="50">
        <f t="shared" si="5"/>
        <v>0</v>
      </c>
      <c r="N31" s="50">
        <f t="shared" si="5"/>
        <v>0</v>
      </c>
      <c r="O31" s="50">
        <f t="shared" si="5"/>
        <v>0</v>
      </c>
      <c r="P31"/>
      <c r="Q31" s="55">
        <f>SUM(D31:O31)</f>
        <v>0</v>
      </c>
    </row>
    <row r="32" ht="12.75">
      <c r="Q32" s="21"/>
    </row>
    <row r="33" spans="1:17" ht="12.75">
      <c r="A33" t="s">
        <v>43</v>
      </c>
      <c r="D33" s="21">
        <f>D9+D18+D26</f>
        <v>4</v>
      </c>
      <c r="E33" s="21">
        <f aca="true" t="shared" si="6" ref="E33:O33">E9+E18+E26</f>
        <v>5</v>
      </c>
      <c r="F33" s="21">
        <f t="shared" si="6"/>
        <v>5</v>
      </c>
      <c r="G33" s="21">
        <f t="shared" si="6"/>
        <v>3.5000000000000004</v>
      </c>
      <c r="H33" s="21">
        <f t="shared" si="6"/>
        <v>2.5</v>
      </c>
      <c r="I33" s="21">
        <f t="shared" si="6"/>
        <v>4.5</v>
      </c>
      <c r="J33" s="21">
        <f t="shared" si="6"/>
        <v>4.5</v>
      </c>
      <c r="K33" s="21">
        <f t="shared" si="6"/>
        <v>4.5</v>
      </c>
      <c r="L33" s="21">
        <f t="shared" si="6"/>
        <v>3</v>
      </c>
      <c r="M33" s="21">
        <f>M9+M18+M26</f>
        <v>4</v>
      </c>
      <c r="N33" s="21">
        <f t="shared" si="6"/>
        <v>4.5</v>
      </c>
      <c r="O33" s="21">
        <f t="shared" si="6"/>
        <v>5</v>
      </c>
      <c r="Q33" s="21">
        <f>SUM(D33:O33)</f>
        <v>50</v>
      </c>
    </row>
    <row r="34" ht="12.75">
      <c r="Q34" s="21"/>
    </row>
    <row r="35" spans="1:17" ht="12.75">
      <c r="A35" t="s">
        <v>44</v>
      </c>
      <c r="D35" s="41">
        <f>D31-D33</f>
        <v>-4</v>
      </c>
      <c r="E35" s="41">
        <f aca="true" t="shared" si="7" ref="E35:Q35">E31-E33</f>
        <v>-5</v>
      </c>
      <c r="F35" s="41">
        <f t="shared" si="7"/>
        <v>-5</v>
      </c>
      <c r="G35" s="41">
        <f t="shared" si="7"/>
        <v>-3.5000000000000004</v>
      </c>
      <c r="H35" s="41">
        <f t="shared" si="7"/>
        <v>-2.5</v>
      </c>
      <c r="I35" s="41">
        <f t="shared" si="7"/>
        <v>-4.5</v>
      </c>
      <c r="J35" s="41">
        <f t="shared" si="7"/>
        <v>-4.5</v>
      </c>
      <c r="K35" s="41">
        <f t="shared" si="7"/>
        <v>-4.5</v>
      </c>
      <c r="L35" s="41">
        <f t="shared" si="7"/>
        <v>-3</v>
      </c>
      <c r="M35" s="41">
        <f t="shared" si="7"/>
        <v>-4</v>
      </c>
      <c r="N35" s="41">
        <f t="shared" si="7"/>
        <v>-4.5</v>
      </c>
      <c r="O35" s="41">
        <f t="shared" si="7"/>
        <v>-5</v>
      </c>
      <c r="Q35" s="41">
        <f t="shared" si="7"/>
        <v>-50</v>
      </c>
    </row>
    <row r="37" ht="12.75">
      <c r="A37" s="1" t="s">
        <v>62</v>
      </c>
    </row>
    <row r="38" ht="12.75">
      <c r="A38" s="56"/>
    </row>
    <row r="39" spans="1:17" ht="12.75">
      <c r="A39" s="97"/>
      <c r="D39" s="98"/>
      <c r="E39" s="98"/>
      <c r="F39" s="98"/>
      <c r="G39" s="98"/>
      <c r="H39" s="98"/>
      <c r="I39" s="98"/>
      <c r="J39" s="98"/>
      <c r="K39" s="98"/>
      <c r="L39" s="98"/>
      <c r="M39" s="98"/>
      <c r="N39" s="98"/>
      <c r="O39" s="98"/>
      <c r="Q39" s="16">
        <f>SUM(D39:O39)</f>
        <v>0</v>
      </c>
    </row>
    <row r="40" spans="1:17" ht="12.75">
      <c r="A40" s="97" t="s">
        <v>88</v>
      </c>
      <c r="D40" s="98"/>
      <c r="E40" s="98"/>
      <c r="F40" s="98"/>
      <c r="G40" s="98"/>
      <c r="H40" s="98"/>
      <c r="I40" s="98"/>
      <c r="J40" s="98"/>
      <c r="K40" s="98"/>
      <c r="L40" s="98"/>
      <c r="M40" s="98"/>
      <c r="N40" s="98"/>
      <c r="O40" s="98"/>
      <c r="Q40" s="16">
        <f>SUM(D40:O40)</f>
        <v>0</v>
      </c>
    </row>
    <row r="41" spans="1:17" ht="12.75">
      <c r="A41" s="97" t="s">
        <v>64</v>
      </c>
      <c r="D41" s="86"/>
      <c r="E41" s="86"/>
      <c r="F41" s="86"/>
      <c r="G41" s="86"/>
      <c r="H41" s="86"/>
      <c r="I41" s="86"/>
      <c r="J41" s="86"/>
      <c r="K41" s="86"/>
      <c r="L41" s="86"/>
      <c r="M41" s="86"/>
      <c r="N41" s="86"/>
      <c r="O41" s="86"/>
      <c r="Q41" s="16">
        <f>SUM(D41:O41)</f>
        <v>0</v>
      </c>
    </row>
    <row r="42" spans="1:17" ht="12.75">
      <c r="A42" s="56"/>
      <c r="D42" s="48">
        <f>SUM(D39:D41)</f>
        <v>0</v>
      </c>
      <c r="E42" s="48">
        <f aca="true" t="shared" si="8" ref="E42:O42">SUM(E39:E41)</f>
        <v>0</v>
      </c>
      <c r="F42" s="48">
        <f t="shared" si="8"/>
        <v>0</v>
      </c>
      <c r="G42" s="48">
        <f t="shared" si="8"/>
        <v>0</v>
      </c>
      <c r="H42" s="48">
        <f t="shared" si="8"/>
        <v>0</v>
      </c>
      <c r="I42" s="48">
        <f t="shared" si="8"/>
        <v>0</v>
      </c>
      <c r="J42" s="48">
        <f t="shared" si="8"/>
        <v>0</v>
      </c>
      <c r="K42" s="48">
        <f t="shared" si="8"/>
        <v>0</v>
      </c>
      <c r="L42" s="48">
        <f t="shared" si="8"/>
        <v>0</v>
      </c>
      <c r="M42" s="48">
        <f t="shared" si="8"/>
        <v>0</v>
      </c>
      <c r="N42" s="48">
        <f t="shared" si="8"/>
        <v>0</v>
      </c>
      <c r="O42" s="48">
        <f t="shared" si="8"/>
        <v>0</v>
      </c>
      <c r="Q42" s="48">
        <f>SUM(Q39:Q41)</f>
        <v>0</v>
      </c>
    </row>
    <row r="44" ht="12.75">
      <c r="A44" s="1" t="s">
        <v>63</v>
      </c>
    </row>
    <row r="46" spans="1:17" ht="12.75">
      <c r="A46" t="s">
        <v>50</v>
      </c>
      <c r="D46" s="16">
        <f>Exp!D14*Exp!$C$14</f>
        <v>0</v>
      </c>
      <c r="E46" s="16">
        <f>Exp!E14*Exp!$C$14</f>
        <v>0</v>
      </c>
      <c r="F46" s="16">
        <f>Exp!F14*Exp!$C$14</f>
        <v>0</v>
      </c>
      <c r="G46" s="16">
        <f>Exp!G14*Exp!$C$14</f>
        <v>0</v>
      </c>
      <c r="H46" s="16">
        <f>Exp!H14*Exp!$C$14</f>
        <v>0</v>
      </c>
      <c r="I46" s="16">
        <f>Exp!I14*Exp!$C$14</f>
        <v>0</v>
      </c>
      <c r="J46" s="16">
        <f>Exp!J14*Exp!$C$14</f>
        <v>0</v>
      </c>
      <c r="K46" s="16">
        <f>Exp!K14*Exp!$C$14</f>
        <v>0</v>
      </c>
      <c r="L46" s="16">
        <f>Exp!L14*Exp!$C$14</f>
        <v>0</v>
      </c>
      <c r="M46" s="16">
        <f>Exp!M14*Exp!$C$14</f>
        <v>0</v>
      </c>
      <c r="N46" s="16">
        <f>Exp!N14*Exp!$C$14</f>
        <v>0</v>
      </c>
      <c r="O46" s="16">
        <f>Exp!O14*Exp!$C$14</f>
        <v>0</v>
      </c>
      <c r="P46" s="16"/>
      <c r="Q46" s="21">
        <f>SUM(D46:O46)</f>
        <v>0</v>
      </c>
    </row>
    <row r="47" spans="4:17" ht="12.75">
      <c r="D47" s="16"/>
      <c r="E47" s="16"/>
      <c r="F47" s="16"/>
      <c r="G47" s="16"/>
      <c r="H47" s="16"/>
      <c r="I47" s="16"/>
      <c r="J47" s="16"/>
      <c r="K47" s="16"/>
      <c r="L47" s="16"/>
      <c r="M47" s="16"/>
      <c r="N47" s="16"/>
      <c r="O47" s="16"/>
      <c r="P47" s="16"/>
      <c r="Q47" s="21"/>
    </row>
    <row r="48" spans="1:17" ht="12.75">
      <c r="A48" t="s">
        <v>72</v>
      </c>
      <c r="D48" s="16">
        <f>Exp!$C$16*Exp!D16</f>
        <v>202.5</v>
      </c>
      <c r="E48" s="16">
        <f>Exp!$C$16*Exp!E16</f>
        <v>202.5</v>
      </c>
      <c r="F48" s="16">
        <f>Exp!$C$16*Exp!F16</f>
        <v>202.5</v>
      </c>
      <c r="G48" s="16">
        <f>Exp!$C$16*Exp!G16</f>
        <v>202.5</v>
      </c>
      <c r="H48" s="16">
        <f>Exp!$C$16*Exp!H16</f>
        <v>202.5</v>
      </c>
      <c r="I48" s="16">
        <f>Exp!$C$16*Exp!I16</f>
        <v>202.5</v>
      </c>
      <c r="J48" s="16">
        <f>Exp!$C$16*Exp!J16</f>
        <v>202.5</v>
      </c>
      <c r="K48" s="16">
        <f>Exp!$C$16*Exp!K16</f>
        <v>202.5</v>
      </c>
      <c r="L48" s="16">
        <f>Exp!$C$16*Exp!L16</f>
        <v>202.5</v>
      </c>
      <c r="M48" s="16">
        <f>Exp!$C$16*Exp!M16</f>
        <v>202.5</v>
      </c>
      <c r="N48" s="16">
        <f>Exp!$C$16*Exp!N16</f>
        <v>202.5</v>
      </c>
      <c r="O48" s="16">
        <f>Exp!$C$16*Exp!O16</f>
        <v>202.5</v>
      </c>
      <c r="P48" s="16"/>
      <c r="Q48" s="21">
        <f>SUM(D48:O48)</f>
        <v>2430</v>
      </c>
    </row>
    <row r="50" ht="12.75">
      <c r="A50" s="37" t="s">
        <v>48</v>
      </c>
    </row>
    <row r="51" spans="1:17" ht="12.75">
      <c r="A51" t="str">
        <f>Exp!A19</f>
        <v>Direct café costs (utilities, marketing)</v>
      </c>
      <c r="D51" s="16">
        <f>Exp!D19*Exp!$C$19*Exp!$B$19</f>
        <v>0</v>
      </c>
      <c r="E51" s="16">
        <f>Exp!E19*Exp!$C$19*Exp!$B$19</f>
        <v>0</v>
      </c>
      <c r="F51" s="16">
        <f>Exp!F19*Exp!$C$19*Exp!$B$19</f>
        <v>0</v>
      </c>
      <c r="G51" s="16">
        <f>Exp!G19*Exp!$C$19*Exp!$B$19</f>
        <v>0</v>
      </c>
      <c r="H51" s="16">
        <f>Exp!H19*Exp!$C$19*Exp!$B$19</f>
        <v>0</v>
      </c>
      <c r="I51" s="16">
        <f>Exp!I19*Exp!$C$19*Exp!$B$19</f>
        <v>0</v>
      </c>
      <c r="J51" s="16">
        <f>Exp!J19*Exp!$C$19*Exp!$B$19</f>
        <v>0</v>
      </c>
      <c r="K51" s="16">
        <f>Exp!K19*Exp!$C$19*Exp!$B$19</f>
        <v>0</v>
      </c>
      <c r="L51" s="16">
        <f>Exp!L19*Exp!$C$19*Exp!$B$19</f>
        <v>0</v>
      </c>
      <c r="M51" s="16">
        <f>Exp!M19*Exp!$C$19*Exp!$B$19</f>
        <v>0</v>
      </c>
      <c r="N51" s="16">
        <f>Exp!N19*Exp!$C$19*Exp!$B$19</f>
        <v>0</v>
      </c>
      <c r="O51" s="16">
        <f>Exp!O19*Exp!$C$19*Exp!$B$19</f>
        <v>0</v>
      </c>
      <c r="Q51" s="21">
        <f>SUM(D51:O51)</f>
        <v>0</v>
      </c>
    </row>
    <row r="52" spans="1:17" ht="12.75">
      <c r="A52" t="str">
        <f>Exp!A20</f>
        <v>Electricity &amp; gas (non café)</v>
      </c>
      <c r="D52" s="16">
        <f>Exp!D20*Exp!$C$20*Exp!$B$20</f>
        <v>0</v>
      </c>
      <c r="E52" s="16">
        <f>Exp!E20*Exp!$C$20*Exp!$B$20</f>
        <v>0</v>
      </c>
      <c r="F52" s="16">
        <f>Exp!F20*Exp!$C$20*Exp!$B$20</f>
        <v>0</v>
      </c>
      <c r="G52" s="16">
        <f>Exp!G20*Exp!$C$20*Exp!$B$20</f>
        <v>0</v>
      </c>
      <c r="H52" s="16">
        <f>Exp!H20*Exp!$C$20*Exp!$B$20</f>
        <v>0</v>
      </c>
      <c r="I52" s="16">
        <f>Exp!I20*Exp!$C$20*Exp!$B$20</f>
        <v>0</v>
      </c>
      <c r="J52" s="16">
        <f>Exp!J20*Exp!$C$20*Exp!$B$20</f>
        <v>0</v>
      </c>
      <c r="K52" s="16">
        <f>Exp!K20*Exp!$C$20*Exp!$B$20</f>
        <v>0</v>
      </c>
      <c r="L52" s="16">
        <f>Exp!L20*Exp!$C$20*Exp!$B$20</f>
        <v>0</v>
      </c>
      <c r="M52" s="16">
        <f>Exp!M20*Exp!$C$20*Exp!$B$20</f>
        <v>0</v>
      </c>
      <c r="N52" s="16">
        <f>Exp!N20*Exp!$C$20*Exp!$B$20</f>
        <v>0</v>
      </c>
      <c r="O52" s="16">
        <f>Exp!O20*Exp!$C$20*Exp!$B$20</f>
        <v>0</v>
      </c>
      <c r="Q52" s="21">
        <f aca="true" t="shared" si="9" ref="Q52:Q64">SUM(D52:O52)</f>
        <v>0</v>
      </c>
    </row>
    <row r="53" spans="1:17" ht="12.75">
      <c r="A53" t="str">
        <f>Exp!A21</f>
        <v>Equipment leasing</v>
      </c>
      <c r="D53" s="16">
        <f>Exp!D21*Exp!$C$21*Exp!$B$21</f>
        <v>0</v>
      </c>
      <c r="E53" s="16">
        <f>Exp!E21*Exp!$C$21*Exp!$B$21</f>
        <v>0</v>
      </c>
      <c r="F53" s="16">
        <f>Exp!F21*Exp!$C$21*Exp!$B$21</f>
        <v>0</v>
      </c>
      <c r="G53" s="16">
        <f>Exp!G21*Exp!$C$21*Exp!$B$21</f>
        <v>0</v>
      </c>
      <c r="H53" s="16">
        <f>Exp!H21*Exp!$C$21*Exp!$B$21</f>
        <v>0</v>
      </c>
      <c r="I53" s="16">
        <f>Exp!I21*Exp!$C$21*Exp!$B$21</f>
        <v>0</v>
      </c>
      <c r="J53" s="16">
        <f>Exp!J21*Exp!$C$21*Exp!$B$21</f>
        <v>0</v>
      </c>
      <c r="K53" s="16">
        <f>Exp!K21*Exp!$C$21*Exp!$B$21</f>
        <v>0</v>
      </c>
      <c r="L53" s="16">
        <f>Exp!L21*Exp!$C$21*Exp!$B$21</f>
        <v>0</v>
      </c>
      <c r="M53" s="16">
        <f>Exp!M21*Exp!$C$21*Exp!$B$21</f>
        <v>0</v>
      </c>
      <c r="N53" s="16">
        <f>Exp!N21*Exp!$C$21*Exp!$B$21</f>
        <v>0</v>
      </c>
      <c r="O53" s="16">
        <f>Exp!O21*Exp!$C$21*Exp!$B$21</f>
        <v>0</v>
      </c>
      <c r="Q53" s="21">
        <f t="shared" si="9"/>
        <v>0</v>
      </c>
    </row>
    <row r="54" spans="1:17" ht="12.75">
      <c r="A54" t="str">
        <f>Exp!A22</f>
        <v>Cleaning</v>
      </c>
      <c r="D54" s="16">
        <f>Exp!D22*Exp!$C$22*Exp!$B$22</f>
        <v>0</v>
      </c>
      <c r="E54" s="16">
        <f>Exp!E22*Exp!$C$22*Exp!$B$22</f>
        <v>0</v>
      </c>
      <c r="F54" s="16">
        <f>Exp!F22*Exp!$C$22*Exp!$B$22</f>
        <v>0</v>
      </c>
      <c r="G54" s="16">
        <f>Exp!G22*Exp!$C$22*Exp!$B$22</f>
        <v>0</v>
      </c>
      <c r="H54" s="16">
        <f>Exp!H22*Exp!$C$22*Exp!$B$22</f>
        <v>0</v>
      </c>
      <c r="I54" s="16">
        <f>Exp!I22*Exp!$C$22*Exp!$B$22</f>
        <v>0</v>
      </c>
      <c r="J54" s="16">
        <f>Exp!J22*Exp!$C$22*Exp!$B$22</f>
        <v>0</v>
      </c>
      <c r="K54" s="16">
        <f>Exp!K22*Exp!$C$22*Exp!$B$22</f>
        <v>0</v>
      </c>
      <c r="L54" s="16">
        <f>Exp!L22*Exp!$C$22*Exp!$B$22</f>
        <v>0</v>
      </c>
      <c r="M54" s="16">
        <f>Exp!M22*Exp!$C$22*Exp!$B$22</f>
        <v>0</v>
      </c>
      <c r="N54" s="16">
        <f>Exp!N22*Exp!$C$22*Exp!$B$22</f>
        <v>0</v>
      </c>
      <c r="O54" s="16">
        <f>Exp!O22*Exp!$C$22*Exp!$B$22</f>
        <v>0</v>
      </c>
      <c r="Q54" s="21">
        <f t="shared" si="9"/>
        <v>0</v>
      </c>
    </row>
    <row r="55" spans="1:17" ht="12.75">
      <c r="A55" t="str">
        <f>Exp!A23</f>
        <v>Marketing &amp; advertising</v>
      </c>
      <c r="D55" s="16">
        <f>Exp!D23*Exp!$C$23*Exp!$B$23</f>
        <v>0</v>
      </c>
      <c r="E55" s="16">
        <f>Exp!E23*Exp!$C$23*Exp!$B$23</f>
        <v>0</v>
      </c>
      <c r="F55" s="16">
        <f>Exp!F23*Exp!$C$23*Exp!$B$23</f>
        <v>0</v>
      </c>
      <c r="G55" s="16">
        <f>Exp!G23*Exp!$C$23*Exp!$B$23</f>
        <v>0</v>
      </c>
      <c r="H55" s="16">
        <f>Exp!H23*Exp!$C$23*Exp!$B$23</f>
        <v>0</v>
      </c>
      <c r="I55" s="16">
        <f>Exp!I23*Exp!$C$23*Exp!$B$23</f>
        <v>0</v>
      </c>
      <c r="J55" s="16">
        <f>Exp!J23*Exp!$C$23*Exp!$B$23</f>
        <v>0</v>
      </c>
      <c r="K55" s="16">
        <f>Exp!K23*Exp!$C$23*Exp!$B$23</f>
        <v>0</v>
      </c>
      <c r="L55" s="16">
        <f>Exp!L23*Exp!$C$23*Exp!$B$23</f>
        <v>0</v>
      </c>
      <c r="M55" s="16">
        <f>Exp!M23*Exp!$C$23*Exp!$B$23</f>
        <v>0</v>
      </c>
      <c r="N55" s="16">
        <f>Exp!N23*Exp!$C$23*Exp!$B$23</f>
        <v>0</v>
      </c>
      <c r="O55" s="16">
        <f>Exp!O23*Exp!$C$23*Exp!$B$23</f>
        <v>0</v>
      </c>
      <c r="Q55" s="21">
        <f t="shared" si="9"/>
        <v>0</v>
      </c>
    </row>
    <row r="56" spans="1:17" ht="12.75">
      <c r="A56" t="str">
        <f>Exp!A24</f>
        <v>Delivery &amp; travel costs</v>
      </c>
      <c r="D56" s="16">
        <f>Exp!D24*Exp!$C$24*Exp!$B$24</f>
        <v>0</v>
      </c>
      <c r="E56" s="16">
        <f>Exp!E24*Exp!$C$24*Exp!$B$24</f>
        <v>0</v>
      </c>
      <c r="F56" s="16">
        <f>Exp!F24*Exp!$C$24*Exp!$B$24</f>
        <v>0</v>
      </c>
      <c r="G56" s="16">
        <f>Exp!G24*Exp!$C$24*Exp!$B$24</f>
        <v>0</v>
      </c>
      <c r="H56" s="16">
        <f>Exp!H24*Exp!$C$24*Exp!$B$24</f>
        <v>0</v>
      </c>
      <c r="I56" s="16">
        <f>Exp!I24*Exp!$C$24*Exp!$B$24</f>
        <v>0</v>
      </c>
      <c r="J56" s="16">
        <f>Exp!J24*Exp!$C$24*Exp!$B$24</f>
        <v>0</v>
      </c>
      <c r="K56" s="16">
        <f>Exp!K24*Exp!$C$24*Exp!$B$24</f>
        <v>0</v>
      </c>
      <c r="L56" s="16">
        <f>Exp!L24*Exp!$C$24*Exp!$B$24</f>
        <v>0</v>
      </c>
      <c r="M56" s="16">
        <f>Exp!M24*Exp!$C$24*Exp!$B$24</f>
        <v>0</v>
      </c>
      <c r="N56" s="16">
        <f>Exp!N24*Exp!$C$24*Exp!$B$24</f>
        <v>0</v>
      </c>
      <c r="O56" s="16">
        <f>Exp!O24*Exp!$C$24*Exp!$B$24</f>
        <v>0</v>
      </c>
      <c r="Q56" s="21">
        <f t="shared" si="9"/>
        <v>0</v>
      </c>
    </row>
    <row r="57" spans="1:17" ht="12.75">
      <c r="A57" t="str">
        <f>Exp!A25</f>
        <v>Accounting and bookeeping</v>
      </c>
      <c r="D57" s="16">
        <f>Exp!D25*Exp!$C$25*Exp!$B$25</f>
        <v>0</v>
      </c>
      <c r="E57" s="16">
        <f>Exp!E25*Exp!$C$25*Exp!$B$25</f>
        <v>0</v>
      </c>
      <c r="F57" s="16">
        <f>Exp!F25*Exp!$C$25*Exp!$B$25</f>
        <v>0</v>
      </c>
      <c r="G57" s="16">
        <f>Exp!G25*Exp!$C$25*Exp!$B$25</f>
        <v>0</v>
      </c>
      <c r="H57" s="16">
        <f>Exp!H25*Exp!$C$25*Exp!$B$25</f>
        <v>0</v>
      </c>
      <c r="I57" s="16">
        <f>Exp!I25*Exp!$C$25*Exp!$B$25</f>
        <v>0</v>
      </c>
      <c r="J57" s="16">
        <f>Exp!J25*Exp!$C$25*Exp!$B$25</f>
        <v>0</v>
      </c>
      <c r="K57" s="16">
        <f>Exp!K25*Exp!$C$25*Exp!$B$25</f>
        <v>0</v>
      </c>
      <c r="L57" s="16">
        <f>Exp!L25*Exp!$C$25*Exp!$B$25</f>
        <v>0</v>
      </c>
      <c r="M57" s="16">
        <f>Exp!M25*Exp!$C$25*Exp!$B$25</f>
        <v>0</v>
      </c>
      <c r="N57" s="16">
        <f>Exp!N25*Exp!$C$25*Exp!$B$25</f>
        <v>0</v>
      </c>
      <c r="O57" s="16">
        <f>Exp!O25*Exp!$C$25*Exp!$B$25</f>
        <v>0</v>
      </c>
      <c r="Q57" s="21">
        <f t="shared" si="9"/>
        <v>0</v>
      </c>
    </row>
    <row r="58" spans="1:17" ht="12.75">
      <c r="A58" t="str">
        <f>Exp!A26</f>
        <v>Staff training</v>
      </c>
      <c r="D58" s="16">
        <f>Exp!D26*Exp!$C$26*Exp!$B$26</f>
        <v>0</v>
      </c>
      <c r="E58" s="16">
        <f>Exp!E26*Exp!$C$26*Exp!$B$26</f>
        <v>0</v>
      </c>
      <c r="F58" s="16">
        <f>Exp!F26*Exp!$C$26*Exp!$B$26</f>
        <v>0</v>
      </c>
      <c r="G58" s="16">
        <f>Exp!G26*Exp!$C$26*Exp!$B$26</f>
        <v>0</v>
      </c>
      <c r="H58" s="16">
        <f>Exp!H26*Exp!$C$26*Exp!$B$26</f>
        <v>0</v>
      </c>
      <c r="I58" s="16">
        <f>Exp!I26*Exp!$C$26*Exp!$B$26</f>
        <v>0</v>
      </c>
      <c r="J58" s="16">
        <f>Exp!J26*Exp!$C$26*Exp!$B$26</f>
        <v>0</v>
      </c>
      <c r="K58" s="16">
        <f>Exp!K26*Exp!$C$26*Exp!$B$26</f>
        <v>0</v>
      </c>
      <c r="L58" s="16">
        <f>Exp!L26*Exp!$C$26*Exp!$B$26</f>
        <v>0</v>
      </c>
      <c r="M58" s="16">
        <f>Exp!M26*Exp!$C$26*Exp!$B$26</f>
        <v>0</v>
      </c>
      <c r="N58" s="16">
        <f>Exp!N26*Exp!$C$26*Exp!$B$26</f>
        <v>0</v>
      </c>
      <c r="O58" s="16">
        <f>Exp!O26*Exp!$C$26*Exp!$B$26</f>
        <v>0</v>
      </c>
      <c r="Q58" s="21">
        <f t="shared" si="9"/>
        <v>0</v>
      </c>
    </row>
    <row r="59" spans="1:17" ht="12.75">
      <c r="A59" t="str">
        <f>Exp!A27</f>
        <v>Non café untilities</v>
      </c>
      <c r="D59" s="16">
        <f>Exp!D27*Exp!$C$27*Exp!$B$27</f>
        <v>0</v>
      </c>
      <c r="E59" s="16">
        <f>Exp!E27*Exp!$C$27*Exp!$B$27</f>
        <v>0</v>
      </c>
      <c r="F59" s="16">
        <f>Exp!F27*Exp!$C$27*Exp!$B$27</f>
        <v>0</v>
      </c>
      <c r="G59" s="16">
        <f>Exp!G27*Exp!$C$27*Exp!$B$27</f>
        <v>0</v>
      </c>
      <c r="H59" s="16">
        <f>Exp!H27*Exp!$C$27*Exp!$B$27</f>
        <v>0</v>
      </c>
      <c r="I59" s="16">
        <f>Exp!I27*Exp!$C$27*Exp!$B$27</f>
        <v>0</v>
      </c>
      <c r="J59" s="16">
        <f>Exp!J27*Exp!$C$27*Exp!$B$27</f>
        <v>0</v>
      </c>
      <c r="K59" s="16">
        <f>Exp!K27*Exp!$C$27*Exp!$B$27</f>
        <v>0</v>
      </c>
      <c r="L59" s="16">
        <f>Exp!L27*Exp!$C$27*Exp!$B$27</f>
        <v>0</v>
      </c>
      <c r="M59" s="16">
        <f>Exp!M27*Exp!$C$27*Exp!$B$27</f>
        <v>0</v>
      </c>
      <c r="N59" s="16">
        <f>Exp!N27*Exp!$C$27*Exp!$B$27</f>
        <v>0</v>
      </c>
      <c r="O59" s="16">
        <f>Exp!O27*Exp!$C$27*Exp!$B$27</f>
        <v>0</v>
      </c>
      <c r="Q59" s="21">
        <f t="shared" si="9"/>
        <v>0</v>
      </c>
    </row>
    <row r="60" spans="1:17" ht="12.75">
      <c r="A60" t="str">
        <f>Exp!A28</f>
        <v>Insurance</v>
      </c>
      <c r="D60" s="16">
        <f>Exp!D28*Exp!$C$28*Exp!$B$28</f>
        <v>0</v>
      </c>
      <c r="E60" s="16">
        <f>Exp!E28*Exp!$C$28*Exp!$C$28</f>
        <v>150</v>
      </c>
      <c r="F60" s="16">
        <f>Exp!F28*Exp!$C$28*Exp!$C$28</f>
        <v>150</v>
      </c>
      <c r="G60" s="16">
        <f>Exp!G28*Exp!$C$28*Exp!$C$28</f>
        <v>150</v>
      </c>
      <c r="H60" s="16">
        <f>Exp!H28*Exp!$C$28*Exp!$C$28</f>
        <v>150</v>
      </c>
      <c r="I60" s="16">
        <f>Exp!I28*Exp!$C$28*Exp!$C$28</f>
        <v>150</v>
      </c>
      <c r="J60" s="16">
        <f>Exp!J28*Exp!$C$28*Exp!$C$28</f>
        <v>150</v>
      </c>
      <c r="K60" s="16">
        <f>Exp!K28*Exp!$C$28*Exp!$C$28</f>
        <v>150</v>
      </c>
      <c r="L60" s="16">
        <f>Exp!L28*Exp!$C$28*Exp!$C$28</f>
        <v>150</v>
      </c>
      <c r="M60" s="16">
        <f>Exp!M28*Exp!$C$28*Exp!$C$28</f>
        <v>150</v>
      </c>
      <c r="N60" s="16">
        <f>Exp!N28*Exp!$C$28*Exp!$C$28</f>
        <v>150</v>
      </c>
      <c r="O60" s="16">
        <f>Exp!O28*Exp!$C$28*Exp!$C$28</f>
        <v>150</v>
      </c>
      <c r="Q60" s="21">
        <f t="shared" si="9"/>
        <v>1650</v>
      </c>
    </row>
    <row r="61" spans="1:17" ht="12.75">
      <c r="A61" t="str">
        <f>Exp!A29</f>
        <v>Maintenance</v>
      </c>
      <c r="D61" s="16">
        <f>Exp!D29*Exp!$C$29*Exp!$B$29</f>
        <v>0</v>
      </c>
      <c r="E61" s="16">
        <f>Exp!E29*Exp!$C$29*Exp!$B$29</f>
        <v>0</v>
      </c>
      <c r="F61" s="16">
        <f>Exp!F29*Exp!$C$29*Exp!$B$29</f>
        <v>0</v>
      </c>
      <c r="G61" s="16">
        <f>Exp!G29*Exp!$C$29*Exp!$B$29</f>
        <v>0</v>
      </c>
      <c r="H61" s="16">
        <f>Exp!H29*Exp!$C$29*Exp!$B$29</f>
        <v>0</v>
      </c>
      <c r="I61" s="16">
        <f>Exp!I29*Exp!$C$29*Exp!$B$29</f>
        <v>0</v>
      </c>
      <c r="J61" s="16">
        <f>Exp!J29*Exp!$C$29*Exp!$B$29</f>
        <v>0</v>
      </c>
      <c r="K61" s="16">
        <f>Exp!K29*Exp!$C$29*Exp!$B$29</f>
        <v>0</v>
      </c>
      <c r="L61" s="16">
        <f>Exp!L29*Exp!$C$29*Exp!$B$29</f>
        <v>0</v>
      </c>
      <c r="M61" s="16">
        <f>Exp!M29*Exp!$C$29*Exp!$B$29</f>
        <v>0</v>
      </c>
      <c r="N61" s="16">
        <f>Exp!N29*Exp!$C$29*Exp!$B$29</f>
        <v>0</v>
      </c>
      <c r="O61" s="16">
        <f>Exp!O29*Exp!$C$29*Exp!$B$29</f>
        <v>0</v>
      </c>
      <c r="Q61" s="21">
        <f t="shared" si="9"/>
        <v>0</v>
      </c>
    </row>
    <row r="62" spans="1:17" ht="12.75">
      <c r="A62" t="str">
        <f>Exp!A30</f>
        <v>Other costs</v>
      </c>
      <c r="D62" s="16">
        <f>Exp!D30*Exp!$C$30*Exp!$B$30</f>
        <v>0</v>
      </c>
      <c r="E62" s="16">
        <f>Exp!E30*Exp!$C$30*Exp!$B$30</f>
        <v>0</v>
      </c>
      <c r="F62" s="16">
        <f>Exp!F30*Exp!$C$30*Exp!$B$30</f>
        <v>0</v>
      </c>
      <c r="G62" s="16">
        <f>Exp!G30*Exp!$C$30*Exp!$B$30</f>
        <v>0</v>
      </c>
      <c r="H62" s="16">
        <f>Exp!H30*Exp!$C$30*Exp!$B$30</f>
        <v>0</v>
      </c>
      <c r="I62" s="16">
        <f>Exp!I30*Exp!$C$30*Exp!$B$30</f>
        <v>0</v>
      </c>
      <c r="J62" s="16">
        <f>Exp!J30*Exp!$C$30*Exp!$B$30</f>
        <v>0</v>
      </c>
      <c r="K62" s="16">
        <f>Exp!K30*Exp!$C$30*Exp!$B$30</f>
        <v>0</v>
      </c>
      <c r="L62" s="16">
        <f>Exp!L30*Exp!$C$30*Exp!$B$30</f>
        <v>0</v>
      </c>
      <c r="M62" s="16">
        <f>Exp!M30*Exp!$C$30*Exp!$B$30</f>
        <v>0</v>
      </c>
      <c r="N62" s="16">
        <f>Exp!N30*Exp!$C$30*Exp!$B$30</f>
        <v>0</v>
      </c>
      <c r="O62" s="16">
        <f>Exp!O30*Exp!$C$30*Exp!$B$30</f>
        <v>0</v>
      </c>
      <c r="Q62" s="21">
        <f t="shared" si="9"/>
        <v>0</v>
      </c>
    </row>
    <row r="63" spans="1:17" ht="12.75">
      <c r="A63">
        <f>Exp!A31</f>
        <v>0</v>
      </c>
      <c r="D63" s="16">
        <f>Exp!D31*Exp!$C$31*Exp!$B$31</f>
        <v>0</v>
      </c>
      <c r="E63" s="16">
        <f>Exp!E31*Exp!$C$31*Exp!$B$31</f>
        <v>0</v>
      </c>
      <c r="F63" s="16">
        <f>Exp!F31*Exp!$C$31*Exp!$B$31</f>
        <v>0</v>
      </c>
      <c r="G63" s="16">
        <f>Exp!G31*Exp!$C$31*Exp!$B$31</f>
        <v>0</v>
      </c>
      <c r="H63" s="16">
        <f>Exp!H31*Exp!$C$31*Exp!$B$31</f>
        <v>0</v>
      </c>
      <c r="I63" s="16">
        <f>Exp!I31*Exp!$C$31*Exp!$B$31</f>
        <v>0</v>
      </c>
      <c r="J63" s="16">
        <f>Exp!J31*Exp!$C$31*Exp!$B$31</f>
        <v>0</v>
      </c>
      <c r="K63" s="16">
        <f>Exp!K31*Exp!$C$31*Exp!$B$31</f>
        <v>0</v>
      </c>
      <c r="L63" s="16">
        <f>Exp!L31*Exp!$C$31*Exp!$B$31</f>
        <v>0</v>
      </c>
      <c r="M63" s="16">
        <f>Exp!M31*Exp!$C$31*Exp!$B$31</f>
        <v>0</v>
      </c>
      <c r="N63" s="16">
        <f>Exp!N31*Exp!$C$31*Exp!$B$31</f>
        <v>0</v>
      </c>
      <c r="O63" s="16">
        <f>Exp!O31*Exp!$C$31*Exp!$B$31</f>
        <v>0</v>
      </c>
      <c r="Q63" s="21">
        <f t="shared" si="9"/>
        <v>0</v>
      </c>
    </row>
    <row r="64" spans="1:17" ht="12.75">
      <c r="A64">
        <f>Exp!A32</f>
        <v>0</v>
      </c>
      <c r="D64" s="16">
        <f>Exp!D32*Exp!$C$32*Exp!$B$32</f>
        <v>0</v>
      </c>
      <c r="E64" s="16">
        <f>Exp!E32*Exp!$C$32*Exp!$B$32</f>
        <v>0</v>
      </c>
      <c r="F64" s="16">
        <f>Exp!F32*Exp!$C$32*Exp!$B$32</f>
        <v>0</v>
      </c>
      <c r="G64" s="16">
        <f>Exp!G32*Exp!$C$32*Exp!$B$32</f>
        <v>0</v>
      </c>
      <c r="H64" s="16">
        <f>Exp!H32*Exp!$C$32*Exp!$B$32</f>
        <v>0</v>
      </c>
      <c r="I64" s="16">
        <f>Exp!I32*Exp!$C$32*Exp!$B$32</f>
        <v>0</v>
      </c>
      <c r="J64" s="16">
        <f>Exp!J32*Exp!$C$32*Exp!$B$32</f>
        <v>0</v>
      </c>
      <c r="K64" s="16">
        <f>Exp!K32*Exp!$C$32*Exp!$B$32</f>
        <v>0</v>
      </c>
      <c r="L64" s="16">
        <f>Exp!L32*Exp!$C$32*Exp!$B$32</f>
        <v>0</v>
      </c>
      <c r="M64" s="16">
        <f>Exp!M32*Exp!$C$32*Exp!$B$32</f>
        <v>0</v>
      </c>
      <c r="N64" s="16">
        <f>Exp!N32*Exp!$C$32*Exp!$B$32</f>
        <v>0</v>
      </c>
      <c r="O64" s="16">
        <f>Exp!O32*Exp!$C$32*Exp!$B$32</f>
        <v>0</v>
      </c>
      <c r="Q64" s="21">
        <f t="shared" si="9"/>
        <v>0</v>
      </c>
    </row>
    <row r="65" spans="1:17" ht="12.75">
      <c r="A65">
        <f>Exp!A33</f>
        <v>0</v>
      </c>
      <c r="D65" s="16">
        <f>Exp!D33*Exp!$C$33*Exp!$B$33</f>
        <v>0</v>
      </c>
      <c r="E65" s="16">
        <f>Exp!E33*Exp!$C$33*Exp!$B$33</f>
        <v>0</v>
      </c>
      <c r="F65" s="16">
        <f>Exp!F33*Exp!$C$33*Exp!$B$33</f>
        <v>0</v>
      </c>
      <c r="G65" s="16">
        <f>Exp!G33*Exp!$C$33*Exp!$B$33</f>
        <v>0</v>
      </c>
      <c r="H65" s="16">
        <f>Exp!H33*Exp!$C$33*Exp!$B$33</f>
        <v>0</v>
      </c>
      <c r="I65" s="16">
        <f>Exp!I33*Exp!$C$33*Exp!$B$33</f>
        <v>0</v>
      </c>
      <c r="J65" s="16">
        <f>Exp!J33*Exp!$C$33*Exp!$B$33</f>
        <v>0</v>
      </c>
      <c r="K65" s="16">
        <f>Exp!K33*Exp!$C$33*Exp!$B$33</f>
        <v>0</v>
      </c>
      <c r="L65" s="16">
        <f>Exp!L33*Exp!$C$33*Exp!$B$33</f>
        <v>0</v>
      </c>
      <c r="M65" s="16">
        <f>Exp!M33*Exp!$C$33*Exp!$B$33</f>
        <v>0</v>
      </c>
      <c r="N65" s="16">
        <f>Exp!N33*Exp!$C$33*Exp!$B$33</f>
        <v>0</v>
      </c>
      <c r="O65" s="16">
        <f>Exp!O33*Exp!$C$33*Exp!$B$33</f>
        <v>0</v>
      </c>
      <c r="P65" s="16"/>
      <c r="Q65" s="16">
        <f>Exp!Q33*Exp!$C$33</f>
        <v>0</v>
      </c>
    </row>
    <row r="66" ht="12.75">
      <c r="P66" s="16"/>
    </row>
    <row r="67" spans="4:17" ht="12.75">
      <c r="D67" s="41">
        <f>SUM(D46:D66)</f>
        <v>202.5</v>
      </c>
      <c r="E67" s="41">
        <f aca="true" t="shared" si="10" ref="E67:Q67">SUM(E46:E66)</f>
        <v>352.5</v>
      </c>
      <c r="F67" s="41">
        <f t="shared" si="10"/>
        <v>352.5</v>
      </c>
      <c r="G67" s="41">
        <f t="shared" si="10"/>
        <v>352.5</v>
      </c>
      <c r="H67" s="41">
        <f t="shared" si="10"/>
        <v>352.5</v>
      </c>
      <c r="I67" s="41">
        <f t="shared" si="10"/>
        <v>352.5</v>
      </c>
      <c r="J67" s="41">
        <f t="shared" si="10"/>
        <v>352.5</v>
      </c>
      <c r="K67" s="41">
        <f t="shared" si="10"/>
        <v>352.5</v>
      </c>
      <c r="L67" s="41">
        <f t="shared" si="10"/>
        <v>352.5</v>
      </c>
      <c r="M67" s="41">
        <f t="shared" si="10"/>
        <v>352.5</v>
      </c>
      <c r="N67" s="41">
        <f t="shared" si="10"/>
        <v>352.5</v>
      </c>
      <c r="O67" s="41">
        <f t="shared" si="10"/>
        <v>352.5</v>
      </c>
      <c r="P67" s="16"/>
      <c r="Q67" s="41">
        <f t="shared" si="10"/>
        <v>4080</v>
      </c>
    </row>
    <row r="68" ht="12.75">
      <c r="P68" s="16"/>
    </row>
    <row r="69" spans="1:18" ht="12.75">
      <c r="A69" t="s">
        <v>61</v>
      </c>
      <c r="D69" s="64">
        <f aca="true" t="shared" si="11" ref="D69:O69">D35-D67</f>
        <v>-206.5</v>
      </c>
      <c r="E69" s="64">
        <f t="shared" si="11"/>
        <v>-357.5</v>
      </c>
      <c r="F69" s="64">
        <f t="shared" si="11"/>
        <v>-357.5</v>
      </c>
      <c r="G69" s="64">
        <f t="shared" si="11"/>
        <v>-356</v>
      </c>
      <c r="H69" s="64">
        <f t="shared" si="11"/>
        <v>-355</v>
      </c>
      <c r="I69" s="64">
        <f t="shared" si="11"/>
        <v>-357</v>
      </c>
      <c r="J69" s="64">
        <f t="shared" si="11"/>
        <v>-357</v>
      </c>
      <c r="K69" s="64">
        <f t="shared" si="11"/>
        <v>-357</v>
      </c>
      <c r="L69" s="64">
        <f t="shared" si="11"/>
        <v>-355.5</v>
      </c>
      <c r="M69" s="64">
        <f t="shared" si="11"/>
        <v>-356.5</v>
      </c>
      <c r="N69" s="64">
        <f t="shared" si="11"/>
        <v>-357</v>
      </c>
      <c r="O69" s="64">
        <f t="shared" si="11"/>
        <v>-357.5</v>
      </c>
      <c r="P69" s="16"/>
      <c r="Q69" s="64">
        <f>Q35-Q67</f>
        <v>-4130</v>
      </c>
      <c r="R69" s="23" t="e">
        <f>Q69/Q31</f>
        <v>#DIV/0!</v>
      </c>
    </row>
    <row r="70" ht="12.75">
      <c r="P70" s="16"/>
    </row>
    <row r="71" ht="12.75">
      <c r="P71" s="16"/>
    </row>
  </sheetData>
  <sheetProtection password="C75A" sheet="1" objects="1" scenarios="1"/>
  <conditionalFormatting sqref="A51:A65">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3"/>
</worksheet>
</file>

<file path=xl/worksheets/sheet8.xml><?xml version="1.0" encoding="utf-8"?>
<worksheet xmlns="http://schemas.openxmlformats.org/spreadsheetml/2006/main" xmlns:r="http://schemas.openxmlformats.org/officeDocument/2006/relationships">
  <dimension ref="A1:S35"/>
  <sheetViews>
    <sheetView zoomScalePageLayoutView="0" workbookViewId="0" topLeftCell="A1">
      <selection activeCell="D48" sqref="D48"/>
    </sheetView>
  </sheetViews>
  <sheetFormatPr defaultColWidth="11.421875" defaultRowHeight="12.75"/>
  <cols>
    <col min="1" max="1" width="46.8515625" style="0" customWidth="1"/>
    <col min="2" max="2" width="5.7109375" style="0" bestFit="1" customWidth="1"/>
    <col min="3" max="3" width="10.28125" style="0" bestFit="1" customWidth="1"/>
    <col min="4" max="4" width="9.28125" style="0" bestFit="1" customWidth="1"/>
    <col min="5" max="15" width="8.8515625" style="0" customWidth="1"/>
    <col min="16" max="16" width="3.7109375" style="0" customWidth="1"/>
    <col min="17" max="16384" width="8.8515625" style="0" customWidth="1"/>
  </cols>
  <sheetData>
    <row r="1" spans="4:17" ht="12.75">
      <c r="D1" s="94">
        <v>40909</v>
      </c>
      <c r="E1" s="94">
        <v>40940</v>
      </c>
      <c r="F1" s="94">
        <v>40969</v>
      </c>
      <c r="G1" s="94">
        <v>41000</v>
      </c>
      <c r="H1" s="94">
        <v>41030</v>
      </c>
      <c r="I1" s="94">
        <v>41061</v>
      </c>
      <c r="J1" s="94">
        <v>41091</v>
      </c>
      <c r="K1" s="94">
        <v>41122</v>
      </c>
      <c r="L1" s="94">
        <v>41153</v>
      </c>
      <c r="M1" s="94">
        <v>41183</v>
      </c>
      <c r="N1" s="94">
        <v>41214</v>
      </c>
      <c r="O1" s="94">
        <v>41244</v>
      </c>
      <c r="Q1" s="7" t="s">
        <v>45</v>
      </c>
    </row>
    <row r="3" ht="12.75">
      <c r="A3" s="1" t="s">
        <v>47</v>
      </c>
    </row>
    <row r="4" spans="3:18" ht="27.75">
      <c r="C4" s="4" t="s">
        <v>57</v>
      </c>
      <c r="R4" s="4" t="s">
        <v>58</v>
      </c>
    </row>
    <row r="5" spans="1:18" ht="12.75">
      <c r="A5" s="37" t="s">
        <v>89</v>
      </c>
      <c r="C5" s="4"/>
      <c r="R5" s="4"/>
    </row>
    <row r="6" spans="3:18" ht="12.75">
      <c r="C6" s="4"/>
      <c r="R6" s="4"/>
    </row>
    <row r="7" spans="1:18" ht="12.75">
      <c r="A7" s="86" t="s">
        <v>114</v>
      </c>
      <c r="C7" s="4"/>
      <c r="D7" s="96">
        <v>750</v>
      </c>
      <c r="E7" s="96">
        <v>750</v>
      </c>
      <c r="F7" s="96">
        <v>750</v>
      </c>
      <c r="G7" s="96">
        <v>750</v>
      </c>
      <c r="H7" s="96">
        <v>750</v>
      </c>
      <c r="I7" s="96">
        <v>750</v>
      </c>
      <c r="J7" s="96">
        <v>750</v>
      </c>
      <c r="K7" s="96">
        <v>750</v>
      </c>
      <c r="L7" s="96">
        <v>750</v>
      </c>
      <c r="M7" s="96">
        <v>750</v>
      </c>
      <c r="N7" s="96">
        <v>750</v>
      </c>
      <c r="O7" s="96">
        <v>750</v>
      </c>
      <c r="Q7" s="21">
        <f aca="true" t="shared" si="0" ref="Q7:Q12">SUM(D7:P7)</f>
        <v>9000</v>
      </c>
      <c r="R7" s="4"/>
    </row>
    <row r="8" spans="1:18" ht="12.75">
      <c r="A8" s="86"/>
      <c r="C8" s="4"/>
      <c r="D8" s="96"/>
      <c r="E8" s="96"/>
      <c r="F8" s="96"/>
      <c r="G8" s="96"/>
      <c r="H8" s="96"/>
      <c r="I8" s="96"/>
      <c r="J8" s="96"/>
      <c r="K8" s="96"/>
      <c r="L8" s="96"/>
      <c r="M8" s="96"/>
      <c r="N8" s="96"/>
      <c r="O8" s="96"/>
      <c r="Q8" s="21">
        <f t="shared" si="0"/>
        <v>0</v>
      </c>
      <c r="R8" s="4"/>
    </row>
    <row r="9" spans="1:18" ht="12.75">
      <c r="A9" s="86" t="s">
        <v>112</v>
      </c>
      <c r="C9" s="4"/>
      <c r="D9" s="96">
        <v>1250</v>
      </c>
      <c r="E9" s="96">
        <v>1250</v>
      </c>
      <c r="F9" s="96">
        <v>1250</v>
      </c>
      <c r="G9" s="96">
        <v>1250</v>
      </c>
      <c r="H9" s="96">
        <v>1250</v>
      </c>
      <c r="I9" s="96">
        <v>1250</v>
      </c>
      <c r="J9" s="96">
        <v>1250</v>
      </c>
      <c r="K9" s="96">
        <v>1250</v>
      </c>
      <c r="L9" s="96">
        <v>1250</v>
      </c>
      <c r="M9" s="96">
        <v>1250</v>
      </c>
      <c r="N9" s="96">
        <v>1250</v>
      </c>
      <c r="O9" s="96">
        <v>1250</v>
      </c>
      <c r="Q9" s="21">
        <f t="shared" si="0"/>
        <v>15000</v>
      </c>
      <c r="R9" s="4"/>
    </row>
    <row r="10" spans="1:18" ht="12.75">
      <c r="A10" s="86"/>
      <c r="C10" s="4"/>
      <c r="D10" s="96"/>
      <c r="E10" s="86"/>
      <c r="F10" s="86"/>
      <c r="G10" s="86"/>
      <c r="H10" s="86"/>
      <c r="I10" s="86"/>
      <c r="J10" s="86"/>
      <c r="K10" s="86"/>
      <c r="L10" s="86"/>
      <c r="M10" s="86"/>
      <c r="N10" s="86"/>
      <c r="O10" s="86"/>
      <c r="Q10" s="21">
        <f t="shared" si="0"/>
        <v>0</v>
      </c>
      <c r="R10" s="4"/>
    </row>
    <row r="11" spans="1:18" ht="12.75">
      <c r="A11" s="86"/>
      <c r="C11" s="4"/>
      <c r="D11" s="96"/>
      <c r="E11" s="86"/>
      <c r="F11" s="86"/>
      <c r="G11" s="86"/>
      <c r="H11" s="86"/>
      <c r="I11" s="86"/>
      <c r="J11" s="86"/>
      <c r="K11" s="86"/>
      <c r="L11" s="86"/>
      <c r="M11" s="86"/>
      <c r="N11" s="86"/>
      <c r="O11" s="86"/>
      <c r="Q11" s="21">
        <f t="shared" si="0"/>
        <v>0</v>
      </c>
      <c r="R11" s="4"/>
    </row>
    <row r="12" spans="1:18" ht="12.75">
      <c r="A12" s="86"/>
      <c r="C12" s="4"/>
      <c r="D12" s="96"/>
      <c r="E12" s="86"/>
      <c r="F12" s="86"/>
      <c r="G12" s="86"/>
      <c r="H12" s="86"/>
      <c r="I12" s="86"/>
      <c r="J12" s="86"/>
      <c r="K12" s="86"/>
      <c r="L12" s="86"/>
      <c r="M12" s="86"/>
      <c r="N12" s="86"/>
      <c r="O12" s="86"/>
      <c r="Q12" s="21">
        <f t="shared" si="0"/>
        <v>0</v>
      </c>
      <c r="R12" s="4"/>
    </row>
    <row r="13" spans="3:18" ht="12.75">
      <c r="C13" s="4"/>
      <c r="D13" s="38"/>
      <c r="E13" s="38"/>
      <c r="F13" s="38"/>
      <c r="G13" s="38"/>
      <c r="H13" s="38"/>
      <c r="I13" s="38"/>
      <c r="J13" s="38"/>
      <c r="K13" s="38"/>
      <c r="L13" s="38"/>
      <c r="M13" s="38"/>
      <c r="N13" s="38"/>
      <c r="O13" s="38"/>
      <c r="Q13" s="38"/>
      <c r="R13" s="4"/>
    </row>
    <row r="14" spans="1:19" ht="12.75">
      <c r="A14" t="s">
        <v>50</v>
      </c>
      <c r="C14" s="6">
        <f>'Scenario Analysis'!G16</f>
        <v>0</v>
      </c>
      <c r="D14" s="62">
        <f>SUM(D6:D13)</f>
        <v>2000</v>
      </c>
      <c r="E14" s="62">
        <f aca="true" t="shared" si="1" ref="E14:Q14">SUM(E6:E13)</f>
        <v>2000</v>
      </c>
      <c r="F14" s="62">
        <f t="shared" si="1"/>
        <v>2000</v>
      </c>
      <c r="G14" s="62">
        <f t="shared" si="1"/>
        <v>2000</v>
      </c>
      <c r="H14" s="62">
        <f t="shared" si="1"/>
        <v>2000</v>
      </c>
      <c r="I14" s="62">
        <f t="shared" si="1"/>
        <v>2000</v>
      </c>
      <c r="J14" s="62">
        <f t="shared" si="1"/>
        <v>2000</v>
      </c>
      <c r="K14" s="62">
        <f t="shared" si="1"/>
        <v>2000</v>
      </c>
      <c r="L14" s="62">
        <f t="shared" si="1"/>
        <v>2000</v>
      </c>
      <c r="M14" s="62">
        <f t="shared" si="1"/>
        <v>2000</v>
      </c>
      <c r="N14" s="62">
        <f t="shared" si="1"/>
        <v>2000</v>
      </c>
      <c r="O14" s="62">
        <f t="shared" si="1"/>
        <v>2000</v>
      </c>
      <c r="Q14" s="62">
        <f t="shared" si="1"/>
        <v>24000</v>
      </c>
      <c r="R14" s="53" t="e">
        <f>Q14/'Monthly I&amp;E'!$Q$31</f>
        <v>#DIV/0!</v>
      </c>
      <c r="S14" s="54">
        <v>0.25</v>
      </c>
    </row>
    <row r="15" spans="3:19" ht="12.75">
      <c r="C15" s="6"/>
      <c r="D15" s="16"/>
      <c r="E15" s="16"/>
      <c r="F15" s="16"/>
      <c r="G15" s="16"/>
      <c r="H15" s="16"/>
      <c r="I15" s="16"/>
      <c r="J15" s="16"/>
      <c r="K15" s="16"/>
      <c r="L15" s="16"/>
      <c r="M15" s="16"/>
      <c r="N15" s="16"/>
      <c r="O15" s="16"/>
      <c r="Q15" s="16"/>
      <c r="R15" s="53"/>
      <c r="S15" s="54"/>
    </row>
    <row r="16" spans="1:19" ht="12.75">
      <c r="A16" t="s">
        <v>70</v>
      </c>
      <c r="C16" s="6">
        <f>'Scenario Analysis'!G18</f>
        <v>0.27</v>
      </c>
      <c r="D16" s="96">
        <v>750</v>
      </c>
      <c r="E16" s="96">
        <v>750</v>
      </c>
      <c r="F16" s="96">
        <v>750</v>
      </c>
      <c r="G16" s="96">
        <v>750</v>
      </c>
      <c r="H16" s="96">
        <v>750</v>
      </c>
      <c r="I16" s="96">
        <v>750</v>
      </c>
      <c r="J16" s="96">
        <v>750</v>
      </c>
      <c r="K16" s="96">
        <v>750</v>
      </c>
      <c r="L16" s="96">
        <v>750</v>
      </c>
      <c r="M16" s="96">
        <v>750</v>
      </c>
      <c r="N16" s="96">
        <v>750</v>
      </c>
      <c r="O16" s="96">
        <v>750</v>
      </c>
      <c r="P16" s="16"/>
      <c r="Q16" s="16"/>
      <c r="R16" s="53"/>
      <c r="S16" s="54"/>
    </row>
    <row r="17" spans="17:18" ht="12.75">
      <c r="Q17" s="16"/>
      <c r="R17" s="53"/>
    </row>
    <row r="18" spans="1:18" ht="12.75">
      <c r="A18" s="37" t="s">
        <v>48</v>
      </c>
      <c r="C18" s="70">
        <f>'Scenario Analysis'!G20</f>
        <v>0</v>
      </c>
      <c r="R18" s="53"/>
    </row>
    <row r="19" spans="1:18" ht="12.75">
      <c r="A19" s="86" t="s">
        <v>113</v>
      </c>
      <c r="B19" s="69">
        <f>$C$18</f>
        <v>0</v>
      </c>
      <c r="C19" s="92">
        <v>1</v>
      </c>
      <c r="D19" s="96">
        <v>600</v>
      </c>
      <c r="E19" s="96">
        <v>600</v>
      </c>
      <c r="F19" s="96">
        <v>600</v>
      </c>
      <c r="G19" s="96">
        <v>600</v>
      </c>
      <c r="H19" s="96">
        <v>600</v>
      </c>
      <c r="I19" s="96">
        <v>600</v>
      </c>
      <c r="J19" s="96">
        <v>600</v>
      </c>
      <c r="K19" s="96">
        <v>600</v>
      </c>
      <c r="L19" s="96">
        <v>600</v>
      </c>
      <c r="M19" s="96">
        <v>600</v>
      </c>
      <c r="N19" s="96">
        <v>600</v>
      </c>
      <c r="O19" s="96">
        <v>600</v>
      </c>
      <c r="Q19" s="16">
        <f>SUM(D19:O19)</f>
        <v>7200</v>
      </c>
      <c r="R19" s="53" t="e">
        <f>Q19/'Monthly I&amp;E'!$Q$31</f>
        <v>#DIV/0!</v>
      </c>
    </row>
    <row r="20" spans="1:18" ht="12.75">
      <c r="A20" s="86" t="s">
        <v>91</v>
      </c>
      <c r="B20" s="69">
        <f aca="true" t="shared" si="2" ref="B20:B33">$C$18</f>
        <v>0</v>
      </c>
      <c r="C20" s="92">
        <v>1</v>
      </c>
      <c r="D20" s="96"/>
      <c r="E20" s="96"/>
      <c r="F20" s="96"/>
      <c r="G20" s="96"/>
      <c r="H20" s="96"/>
      <c r="I20" s="96"/>
      <c r="J20" s="96"/>
      <c r="K20" s="96"/>
      <c r="L20" s="96"/>
      <c r="M20" s="96"/>
      <c r="N20" s="96"/>
      <c r="O20" s="96"/>
      <c r="Q20" s="16">
        <f aca="true" t="shared" si="3" ref="Q20:Q33">SUM(D20:O20)</f>
        <v>0</v>
      </c>
      <c r="R20" s="53" t="e">
        <f>Q20/'Monthly I&amp;E'!$Q$31</f>
        <v>#DIV/0!</v>
      </c>
    </row>
    <row r="21" spans="1:18" ht="12.75">
      <c r="A21" s="86" t="s">
        <v>54</v>
      </c>
      <c r="B21" s="69">
        <f t="shared" si="2"/>
        <v>0</v>
      </c>
      <c r="C21" s="92">
        <v>1</v>
      </c>
      <c r="D21" s="96"/>
      <c r="E21" s="96"/>
      <c r="F21" s="96"/>
      <c r="G21" s="96"/>
      <c r="H21" s="96"/>
      <c r="I21" s="96"/>
      <c r="J21" s="96"/>
      <c r="K21" s="96"/>
      <c r="L21" s="96"/>
      <c r="M21" s="96"/>
      <c r="N21" s="96"/>
      <c r="O21" s="96"/>
      <c r="Q21" s="16">
        <f t="shared" si="3"/>
        <v>0</v>
      </c>
      <c r="R21" s="53" t="e">
        <f>Q21/'Monthly I&amp;E'!$Q$31</f>
        <v>#DIV/0!</v>
      </c>
    </row>
    <row r="22" spans="1:18" ht="12.75">
      <c r="A22" s="86" t="s">
        <v>49</v>
      </c>
      <c r="B22" s="69">
        <f t="shared" si="2"/>
        <v>0</v>
      </c>
      <c r="C22" s="92">
        <v>1</v>
      </c>
      <c r="D22" s="96"/>
      <c r="E22" s="96"/>
      <c r="F22" s="96"/>
      <c r="G22" s="96"/>
      <c r="H22" s="96"/>
      <c r="I22" s="96"/>
      <c r="J22" s="96"/>
      <c r="K22" s="96"/>
      <c r="L22" s="96"/>
      <c r="M22" s="96"/>
      <c r="N22" s="96"/>
      <c r="O22" s="96"/>
      <c r="Q22" s="16">
        <f t="shared" si="3"/>
        <v>0</v>
      </c>
      <c r="R22" s="53" t="e">
        <f>Q22/'Monthly I&amp;E'!$Q$31</f>
        <v>#DIV/0!</v>
      </c>
    </row>
    <row r="23" spans="1:18" ht="12.75">
      <c r="A23" s="86" t="s">
        <v>51</v>
      </c>
      <c r="B23" s="69">
        <f t="shared" si="2"/>
        <v>0</v>
      </c>
      <c r="C23" s="92">
        <v>1</v>
      </c>
      <c r="D23" s="96"/>
      <c r="E23" s="96"/>
      <c r="F23" s="96"/>
      <c r="G23" s="96"/>
      <c r="H23" s="96"/>
      <c r="I23" s="96"/>
      <c r="J23" s="96"/>
      <c r="K23" s="96"/>
      <c r="L23" s="96"/>
      <c r="M23" s="96"/>
      <c r="N23" s="96"/>
      <c r="O23" s="96"/>
      <c r="Q23" s="16">
        <f t="shared" si="3"/>
        <v>0</v>
      </c>
      <c r="R23" s="53" t="e">
        <f>Q23/'Monthly I&amp;E'!$Q$31</f>
        <v>#DIV/0!</v>
      </c>
    </row>
    <row r="24" spans="1:18" ht="12.75">
      <c r="A24" s="86" t="s">
        <v>60</v>
      </c>
      <c r="B24" s="69">
        <f t="shared" si="2"/>
        <v>0</v>
      </c>
      <c r="C24" s="92">
        <v>1</v>
      </c>
      <c r="D24" s="96"/>
      <c r="E24" s="96"/>
      <c r="F24" s="96"/>
      <c r="G24" s="96"/>
      <c r="H24" s="96"/>
      <c r="I24" s="96"/>
      <c r="J24" s="96"/>
      <c r="K24" s="96"/>
      <c r="L24" s="96"/>
      <c r="M24" s="96"/>
      <c r="N24" s="96"/>
      <c r="O24" s="96"/>
      <c r="Q24" s="16">
        <f t="shared" si="3"/>
        <v>0</v>
      </c>
      <c r="R24" s="53" t="e">
        <f>Q24/'Monthly I&amp;E'!$Q$31</f>
        <v>#DIV/0!</v>
      </c>
    </row>
    <row r="25" spans="1:18" ht="12.75">
      <c r="A25" s="86" t="s">
        <v>53</v>
      </c>
      <c r="B25" s="69">
        <f t="shared" si="2"/>
        <v>0</v>
      </c>
      <c r="C25" s="92">
        <v>1</v>
      </c>
      <c r="D25" s="96"/>
      <c r="E25" s="96"/>
      <c r="F25" s="96"/>
      <c r="G25" s="96"/>
      <c r="H25" s="96"/>
      <c r="I25" s="96"/>
      <c r="J25" s="96"/>
      <c r="K25" s="96"/>
      <c r="L25" s="96"/>
      <c r="M25" s="96"/>
      <c r="N25" s="96"/>
      <c r="O25" s="96"/>
      <c r="Q25" s="16">
        <f t="shared" si="3"/>
        <v>0</v>
      </c>
      <c r="R25" s="53" t="e">
        <f>Q25/'Monthly I&amp;E'!$Q$31</f>
        <v>#DIV/0!</v>
      </c>
    </row>
    <row r="26" spans="1:18" ht="12.75">
      <c r="A26" s="86" t="s">
        <v>55</v>
      </c>
      <c r="B26" s="69">
        <f t="shared" si="2"/>
        <v>0</v>
      </c>
      <c r="C26" s="92">
        <v>1</v>
      </c>
      <c r="D26" s="96"/>
      <c r="E26" s="96"/>
      <c r="F26" s="96"/>
      <c r="G26" s="96"/>
      <c r="H26" s="96"/>
      <c r="I26" s="96"/>
      <c r="J26" s="96"/>
      <c r="K26" s="96"/>
      <c r="L26" s="96"/>
      <c r="M26" s="96"/>
      <c r="N26" s="96"/>
      <c r="O26" s="96"/>
      <c r="Q26" s="16">
        <f t="shared" si="3"/>
        <v>0</v>
      </c>
      <c r="R26" s="53" t="e">
        <f>Q26/'Monthly I&amp;E'!$Q$31</f>
        <v>#DIV/0!</v>
      </c>
    </row>
    <row r="27" spans="1:18" ht="12.75">
      <c r="A27" s="86" t="s">
        <v>92</v>
      </c>
      <c r="B27" s="69">
        <f t="shared" si="2"/>
        <v>0</v>
      </c>
      <c r="C27" s="92">
        <v>1</v>
      </c>
      <c r="D27" s="96"/>
      <c r="E27" s="96"/>
      <c r="F27" s="96"/>
      <c r="G27" s="96"/>
      <c r="H27" s="96"/>
      <c r="I27" s="96"/>
      <c r="J27" s="96"/>
      <c r="K27" s="96"/>
      <c r="L27" s="96"/>
      <c r="M27" s="96"/>
      <c r="N27" s="96"/>
      <c r="O27" s="96"/>
      <c r="Q27" s="16">
        <f t="shared" si="3"/>
        <v>0</v>
      </c>
      <c r="R27" s="53" t="e">
        <f>Q27/'Monthly I&amp;E'!$Q$31</f>
        <v>#DIV/0!</v>
      </c>
    </row>
    <row r="28" spans="1:18" ht="12.75">
      <c r="A28" s="86" t="s">
        <v>52</v>
      </c>
      <c r="B28" s="69">
        <f t="shared" si="2"/>
        <v>0</v>
      </c>
      <c r="C28" s="92">
        <v>1</v>
      </c>
      <c r="D28" s="96">
        <v>150</v>
      </c>
      <c r="E28" s="96">
        <v>150</v>
      </c>
      <c r="F28" s="96">
        <v>150</v>
      </c>
      <c r="G28" s="96">
        <v>150</v>
      </c>
      <c r="H28" s="96">
        <v>150</v>
      </c>
      <c r="I28" s="96">
        <v>150</v>
      </c>
      <c r="J28" s="96">
        <v>150</v>
      </c>
      <c r="K28" s="96">
        <v>150</v>
      </c>
      <c r="L28" s="96">
        <v>150</v>
      </c>
      <c r="M28" s="96">
        <v>150</v>
      </c>
      <c r="N28" s="96">
        <v>150</v>
      </c>
      <c r="O28" s="96">
        <v>150</v>
      </c>
      <c r="Q28" s="16">
        <f t="shared" si="3"/>
        <v>1800</v>
      </c>
      <c r="R28" s="53" t="e">
        <f>Q28/'Monthly I&amp;E'!$Q$31</f>
        <v>#DIV/0!</v>
      </c>
    </row>
    <row r="29" spans="1:18" ht="12.75">
      <c r="A29" s="86" t="s">
        <v>90</v>
      </c>
      <c r="B29" s="69">
        <f t="shared" si="2"/>
        <v>0</v>
      </c>
      <c r="C29" s="92">
        <v>1</v>
      </c>
      <c r="D29" s="96">
        <v>250</v>
      </c>
      <c r="E29" s="96">
        <v>250</v>
      </c>
      <c r="F29" s="96">
        <v>250</v>
      </c>
      <c r="G29" s="96">
        <v>250</v>
      </c>
      <c r="H29" s="96">
        <v>250</v>
      </c>
      <c r="I29" s="96">
        <v>250</v>
      </c>
      <c r="J29" s="96">
        <v>250</v>
      </c>
      <c r="K29" s="96">
        <v>250</v>
      </c>
      <c r="L29" s="96">
        <v>250</v>
      </c>
      <c r="M29" s="96">
        <v>250</v>
      </c>
      <c r="N29" s="96">
        <v>250</v>
      </c>
      <c r="O29" s="96">
        <v>250</v>
      </c>
      <c r="Q29" s="16">
        <f t="shared" si="3"/>
        <v>3000</v>
      </c>
      <c r="R29" s="53" t="e">
        <f>Q29/'Monthly I&amp;E'!$Q$31</f>
        <v>#DIV/0!</v>
      </c>
    </row>
    <row r="30" spans="1:18" ht="12.75">
      <c r="A30" s="86" t="s">
        <v>59</v>
      </c>
      <c r="B30" s="69">
        <f t="shared" si="2"/>
        <v>0</v>
      </c>
      <c r="C30" s="92">
        <v>1</v>
      </c>
      <c r="D30" s="96">
        <v>200</v>
      </c>
      <c r="E30" s="96">
        <v>200</v>
      </c>
      <c r="F30" s="96">
        <v>200</v>
      </c>
      <c r="G30" s="96">
        <v>200</v>
      </c>
      <c r="H30" s="96">
        <v>200</v>
      </c>
      <c r="I30" s="96">
        <v>200</v>
      </c>
      <c r="J30" s="96">
        <v>200</v>
      </c>
      <c r="K30" s="96">
        <v>200</v>
      </c>
      <c r="L30" s="96">
        <v>200</v>
      </c>
      <c r="M30" s="96">
        <v>200</v>
      </c>
      <c r="N30" s="96">
        <v>200</v>
      </c>
      <c r="O30" s="96">
        <v>200</v>
      </c>
      <c r="Q30" s="16">
        <f t="shared" si="3"/>
        <v>2400</v>
      </c>
      <c r="R30" s="53" t="e">
        <f>Q30/'Monthly I&amp;E'!$Q$31</f>
        <v>#DIV/0!</v>
      </c>
    </row>
    <row r="31" spans="1:18" ht="12.75">
      <c r="A31" s="86"/>
      <c r="B31" s="69">
        <f t="shared" si="2"/>
        <v>0</v>
      </c>
      <c r="C31" s="92">
        <v>1</v>
      </c>
      <c r="D31" s="96"/>
      <c r="E31" s="96"/>
      <c r="F31" s="96"/>
      <c r="G31" s="96"/>
      <c r="H31" s="96"/>
      <c r="I31" s="96"/>
      <c r="J31" s="96"/>
      <c r="K31" s="96"/>
      <c r="L31" s="96"/>
      <c r="M31" s="96"/>
      <c r="N31" s="96"/>
      <c r="O31" s="96"/>
      <c r="Q31" s="16">
        <f t="shared" si="3"/>
        <v>0</v>
      </c>
      <c r="R31" s="53" t="e">
        <f>Q31/'Monthly I&amp;E'!$Q$31</f>
        <v>#DIV/0!</v>
      </c>
    </row>
    <row r="32" spans="1:18" ht="12.75">
      <c r="A32" s="86"/>
      <c r="B32" s="69">
        <f t="shared" si="2"/>
        <v>0</v>
      </c>
      <c r="C32" s="92">
        <v>1</v>
      </c>
      <c r="D32" s="96"/>
      <c r="E32" s="96"/>
      <c r="F32" s="96"/>
      <c r="G32" s="96"/>
      <c r="H32" s="96"/>
      <c r="I32" s="96"/>
      <c r="J32" s="96"/>
      <c r="K32" s="96"/>
      <c r="L32" s="96"/>
      <c r="M32" s="96"/>
      <c r="N32" s="96"/>
      <c r="O32" s="96"/>
      <c r="Q32" s="16">
        <f t="shared" si="3"/>
        <v>0</v>
      </c>
      <c r="R32" s="53" t="e">
        <f>Q32/'Monthly I&amp;E'!$Q$31</f>
        <v>#DIV/0!</v>
      </c>
    </row>
    <row r="33" spans="1:18" ht="12.75">
      <c r="A33" s="86"/>
      <c r="B33" s="69">
        <f t="shared" si="2"/>
        <v>0</v>
      </c>
      <c r="C33" s="92">
        <v>1</v>
      </c>
      <c r="D33" s="96"/>
      <c r="E33" s="96"/>
      <c r="F33" s="96"/>
      <c r="G33" s="96"/>
      <c r="H33" s="96"/>
      <c r="I33" s="96"/>
      <c r="J33" s="96"/>
      <c r="K33" s="96"/>
      <c r="L33" s="96"/>
      <c r="M33" s="96"/>
      <c r="N33" s="96"/>
      <c r="O33" s="96"/>
      <c r="Q33" s="16">
        <f t="shared" si="3"/>
        <v>0</v>
      </c>
      <c r="R33" s="53" t="e">
        <f>Q33/'Monthly I&amp;E'!$Q$31</f>
        <v>#DIV/0!</v>
      </c>
    </row>
    <row r="34" ht="12.75">
      <c r="R34" s="53"/>
    </row>
    <row r="35" spans="4:19" ht="12.75">
      <c r="D35" s="48">
        <f>SUM(D19:D33)</f>
        <v>1200</v>
      </c>
      <c r="E35" s="48">
        <f aca="true" t="shared" si="4" ref="E35:Q35">SUM(E19:E33)</f>
        <v>1200</v>
      </c>
      <c r="F35" s="48">
        <f t="shared" si="4"/>
        <v>1200</v>
      </c>
      <c r="G35" s="48">
        <f t="shared" si="4"/>
        <v>1200</v>
      </c>
      <c r="H35" s="48">
        <f t="shared" si="4"/>
        <v>1200</v>
      </c>
      <c r="I35" s="48">
        <f t="shared" si="4"/>
        <v>1200</v>
      </c>
      <c r="J35" s="48">
        <f t="shared" si="4"/>
        <v>1200</v>
      </c>
      <c r="K35" s="48">
        <f t="shared" si="4"/>
        <v>1200</v>
      </c>
      <c r="L35" s="48">
        <f t="shared" si="4"/>
        <v>1200</v>
      </c>
      <c r="M35" s="48">
        <f t="shared" si="4"/>
        <v>1200</v>
      </c>
      <c r="N35" s="48">
        <f t="shared" si="4"/>
        <v>1200</v>
      </c>
      <c r="O35" s="48">
        <f t="shared" si="4"/>
        <v>1200</v>
      </c>
      <c r="Q35" s="48">
        <f t="shared" si="4"/>
        <v>14400</v>
      </c>
      <c r="R35" s="53" t="e">
        <f>Q35/'Monthly I&amp;E'!$Q$31</f>
        <v>#DIV/0!</v>
      </c>
      <c r="S35" s="54">
        <v>0.25</v>
      </c>
    </row>
  </sheetData>
  <sheetProtection password="C75A" sheet="1" objects="1" scenarios="1"/>
  <printOptions/>
  <pageMargins left="0.75" right="0.75" top="1" bottom="1" header="0.5" footer="0.5"/>
  <pageSetup orientation="portrait" paperSize="3"/>
</worksheet>
</file>

<file path=xl/worksheets/sheet9.xml><?xml version="1.0" encoding="utf-8"?>
<worksheet xmlns="http://schemas.openxmlformats.org/spreadsheetml/2006/main" xmlns:r="http://schemas.openxmlformats.org/officeDocument/2006/relationships">
  <dimension ref="A3:A26"/>
  <sheetViews>
    <sheetView showGridLines="0" zoomScalePageLayoutView="0" workbookViewId="0" topLeftCell="A1">
      <selection activeCell="E12" sqref="E12"/>
    </sheetView>
  </sheetViews>
  <sheetFormatPr defaultColWidth="8.7109375" defaultRowHeight="12.75"/>
  <cols>
    <col min="1" max="1" width="146.00390625" style="101" customWidth="1"/>
    <col min="2" max="16384" width="8.7109375" style="101" customWidth="1"/>
  </cols>
  <sheetData>
    <row r="1" ht="15"/>
    <row r="2" ht="15"/>
    <row r="3" ht="23.25">
      <c r="A3" s="145" t="s">
        <v>131</v>
      </c>
    </row>
    <row r="4" ht="15"/>
    <row r="5" ht="15"/>
    <row r="6" ht="58.5" customHeight="1"/>
    <row r="7" ht="16.5">
      <c r="A7" s="144" t="s">
        <v>134</v>
      </c>
    </row>
    <row r="8" ht="33.75">
      <c r="A8" s="144" t="s">
        <v>135</v>
      </c>
    </row>
    <row r="9" ht="16.5">
      <c r="A9" s="144" t="s">
        <v>136</v>
      </c>
    </row>
    <row r="10" ht="33.75">
      <c r="A10" s="144" t="s">
        <v>137</v>
      </c>
    </row>
    <row r="11" ht="33.75">
      <c r="A11" s="144" t="s">
        <v>138</v>
      </c>
    </row>
    <row r="12" ht="33.75">
      <c r="A12" s="144" t="s">
        <v>139</v>
      </c>
    </row>
    <row r="13" ht="33.75">
      <c r="A13" s="144" t="s">
        <v>140</v>
      </c>
    </row>
    <row r="14" ht="16.5">
      <c r="A14" s="144" t="s">
        <v>141</v>
      </c>
    </row>
    <row r="15" ht="33.75">
      <c r="A15" s="144" t="s">
        <v>142</v>
      </c>
    </row>
    <row r="16" ht="16.5">
      <c r="A16" s="144" t="s">
        <v>143</v>
      </c>
    </row>
    <row r="17" ht="16.5">
      <c r="A17" s="144" t="s">
        <v>144</v>
      </c>
    </row>
    <row r="18" ht="33.75">
      <c r="A18" s="144" t="s">
        <v>145</v>
      </c>
    </row>
    <row r="19" ht="33.75">
      <c r="A19" s="144" t="s">
        <v>146</v>
      </c>
    </row>
    <row r="20" ht="33.75">
      <c r="A20" s="144" t="s">
        <v>147</v>
      </c>
    </row>
    <row r="21" ht="16.5">
      <c r="A21" s="144" t="s">
        <v>148</v>
      </c>
    </row>
    <row r="22" ht="33.75">
      <c r="A22" s="144" t="s">
        <v>149</v>
      </c>
    </row>
    <row r="23" ht="16.5">
      <c r="A23" s="144" t="s">
        <v>150</v>
      </c>
    </row>
    <row r="24" ht="16.5">
      <c r="A24" s="144" t="s">
        <v>151</v>
      </c>
    </row>
    <row r="25" ht="33.75">
      <c r="A25" s="144" t="s">
        <v>152</v>
      </c>
    </row>
    <row r="26" ht="16.5">
      <c r="A26" s="144" t="s">
        <v>153</v>
      </c>
    </row>
  </sheetData>
  <sheetProtection/>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n.trup</dc:creator>
  <cp:keywords/>
  <dc:description/>
  <cp:lastModifiedBy>Microsoft Office User</cp:lastModifiedBy>
  <cp:lastPrinted>2010-09-23T10:12:06Z</cp:lastPrinted>
  <dcterms:created xsi:type="dcterms:W3CDTF">2010-04-14T13:48:44Z</dcterms:created>
  <dcterms:modified xsi:type="dcterms:W3CDTF">2019-06-12T15:35:17Z</dcterms:modified>
  <cp:category/>
  <cp:version/>
  <cp:contentType/>
  <cp:contentStatus/>
</cp:coreProperties>
</file>